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N:\Haushaltsjahre\2024\zentral-2024\"/>
    </mc:Choice>
  </mc:AlternateContent>
  <xr:revisionPtr revIDLastSave="0" documentId="13_ncr:1_{EEABF109-B214-4E2C-9DF3-16F07C5FE5B5}" xr6:coauthVersionLast="36" xr6:coauthVersionMax="36" xr10:uidLastSave="{00000000-0000-0000-0000-000000000000}"/>
  <bookViews>
    <workbookView xWindow="360" yWindow="15" windowWidth="20955" windowHeight="9720" xr2:uid="{00000000-000D-0000-FFFF-FFFF00000000}"/>
  </bookViews>
  <sheets>
    <sheet name="Haushalt" sheetId="1" r:id="rId1"/>
    <sheet name="Zuweisungen" sheetId="2" r:id="rId2"/>
    <sheet name="Stellenplan" sheetId="3" r:id="rId3"/>
  </sheets>
  <definedNames>
    <definedName name="Print_Area" localSheetId="0">Haushalt!$A$1:$D$202</definedName>
  </definedNames>
  <calcPr calcId="191029"/>
</workbook>
</file>

<file path=xl/calcChain.xml><?xml version="1.0" encoding="utf-8"?>
<calcChain xmlns="http://schemas.openxmlformats.org/spreadsheetml/2006/main">
  <c r="G33" i="1" l="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8" i="1"/>
  <c r="G9" i="1"/>
  <c r="G10" i="1"/>
  <c r="G11" i="1"/>
  <c r="G12" i="1"/>
  <c r="G13" i="1"/>
  <c r="G14" i="1"/>
  <c r="G15" i="1"/>
  <c r="G16" i="1"/>
  <c r="G17" i="1"/>
  <c r="G18" i="1"/>
  <c r="G19" i="1"/>
  <c r="G20" i="1"/>
  <c r="G21" i="1"/>
  <c r="G22" i="1"/>
  <c r="G23" i="1"/>
  <c r="G24" i="1"/>
  <c r="G25" i="1"/>
  <c r="G26" i="1"/>
  <c r="G27" i="1"/>
  <c r="G28" i="1"/>
  <c r="G29" i="1"/>
  <c r="G30" i="1"/>
  <c r="G31" i="1"/>
  <c r="G32" i="1"/>
  <c r="F90" i="1"/>
  <c r="F61" i="1"/>
  <c r="D61" i="1"/>
  <c r="F65" i="1"/>
  <c r="D65" i="1"/>
  <c r="E56" i="1"/>
  <c r="F54" i="1" s="1"/>
  <c r="D54" i="1"/>
  <c r="D183" i="1"/>
  <c r="F47" i="1"/>
  <c r="D47" i="1"/>
  <c r="F187" i="1"/>
  <c r="D187" i="1"/>
  <c r="F180" i="1" l="1"/>
  <c r="F163" i="1"/>
  <c r="F160" i="1"/>
  <c r="F154" i="1"/>
  <c r="F148" i="1"/>
  <c r="F101" i="1"/>
  <c r="F94" i="1"/>
  <c r="F85" i="1"/>
  <c r="F81" i="1"/>
  <c r="F12" i="1"/>
  <c r="F25" i="1"/>
  <c r="F31" i="1"/>
  <c r="F35" i="1"/>
  <c r="F39" i="1"/>
  <c r="F50" i="1"/>
  <c r="F71" i="1"/>
  <c r="E130" i="1"/>
  <c r="D128" i="1"/>
  <c r="E20" i="1"/>
  <c r="E19" i="1"/>
  <c r="C20" i="1"/>
  <c r="C19" i="1"/>
  <c r="E135" i="1"/>
  <c r="E136" i="1"/>
  <c r="C136" i="1"/>
  <c r="C135" i="1"/>
  <c r="D133" i="1" s="1"/>
  <c r="F17" i="1" l="1"/>
  <c r="F128" i="1"/>
  <c r="F133" i="1"/>
  <c r="D17" i="1"/>
  <c r="G26" i="3" l="1"/>
  <c r="J26" i="3" l="1"/>
  <c r="F26" i="3"/>
  <c r="E26" i="3"/>
  <c r="I23" i="3"/>
  <c r="I22" i="3"/>
  <c r="I19" i="3"/>
  <c r="I16" i="3"/>
  <c r="I15" i="3"/>
  <c r="I12" i="3"/>
  <c r="I9" i="3"/>
  <c r="I8" i="3"/>
  <c r="I7" i="3"/>
  <c r="I26" i="3" l="1"/>
  <c r="G65" i="2"/>
  <c r="C65" i="2" l="1"/>
  <c r="E13" i="1" l="1"/>
  <c r="E14" i="1"/>
  <c r="E185" i="1" l="1"/>
  <c r="D65" i="2"/>
  <c r="B14" i="2" s="1"/>
  <c r="A64" i="2"/>
  <c r="A63" i="2"/>
  <c r="A62" i="2"/>
  <c r="A61" i="2"/>
  <c r="A60" i="2"/>
  <c r="A59" i="2"/>
  <c r="A58" i="2"/>
  <c r="A57" i="2"/>
  <c r="A56" i="2"/>
  <c r="A55" i="2"/>
  <c r="A54" i="2"/>
  <c r="A53" i="2"/>
  <c r="A52" i="2"/>
  <c r="A51" i="2"/>
  <c r="A50" i="2"/>
  <c r="A49" i="2"/>
  <c r="A48" i="2"/>
  <c r="A47" i="2"/>
  <c r="A46" i="2"/>
  <c r="A45" i="2"/>
  <c r="A39" i="2"/>
  <c r="A38" i="2"/>
  <c r="A37" i="2"/>
  <c r="A36" i="2"/>
  <c r="A35" i="2"/>
  <c r="A34" i="2"/>
  <c r="A33" i="2"/>
  <c r="A32" i="2"/>
  <c r="A31" i="2"/>
  <c r="A30" i="2"/>
  <c r="A29" i="2"/>
  <c r="A28" i="2"/>
  <c r="A27" i="2"/>
  <c r="A21" i="2"/>
  <c r="D192" i="1"/>
  <c r="D180" i="1"/>
  <c r="D163" i="1"/>
  <c r="D160" i="1"/>
  <c r="D154" i="1"/>
  <c r="D148" i="1"/>
  <c r="F120" i="1"/>
  <c r="C122" i="1"/>
  <c r="F113" i="1"/>
  <c r="D113" i="1"/>
  <c r="D101" i="1"/>
  <c r="D94" i="1"/>
  <c r="D85" i="1"/>
  <c r="D81" i="1"/>
  <c r="D71" i="1"/>
  <c r="F43" i="1"/>
  <c r="D31" i="1"/>
  <c r="D25" i="1"/>
  <c r="C14" i="1"/>
  <c r="C145" i="1" s="1"/>
  <c r="C13" i="1"/>
  <c r="D12" i="1"/>
  <c r="E10" i="1"/>
  <c r="C10" i="1"/>
  <c r="C144" i="1" s="1"/>
  <c r="E9" i="1"/>
  <c r="C9" i="1"/>
  <c r="F8" i="1"/>
  <c r="D8" i="1"/>
  <c r="G5" i="1"/>
  <c r="D120" i="1" l="1"/>
  <c r="F58" i="1"/>
  <c r="D22" i="1"/>
  <c r="F22" i="1"/>
  <c r="D58" i="1"/>
  <c r="D140" i="1"/>
  <c r="F140" i="1"/>
  <c r="D143" i="1"/>
  <c r="D167" i="1" s="1"/>
  <c r="D98" i="1"/>
  <c r="F98" i="1"/>
  <c r="E39" i="2"/>
  <c r="F39" i="2" s="1"/>
  <c r="E36" i="2"/>
  <c r="F36" i="2" s="1"/>
  <c r="E56" i="2"/>
  <c r="F56" i="2" s="1"/>
  <c r="E45" i="2"/>
  <c r="F45" i="2" s="1"/>
  <c r="E53" i="2"/>
  <c r="F53" i="2" s="1"/>
  <c r="E24" i="2"/>
  <c r="F24" i="2" s="1"/>
  <c r="E44" i="2"/>
  <c r="F44" i="2" s="1"/>
  <c r="E22" i="2"/>
  <c r="F22" i="2" s="1"/>
  <c r="E41" i="2"/>
  <c r="F41" i="2" s="1"/>
  <c r="E62" i="2"/>
  <c r="F62" i="2" s="1"/>
  <c r="E59" i="2"/>
  <c r="F59" i="2" s="1"/>
  <c r="E32" i="2"/>
  <c r="F32" i="2" s="1"/>
  <c r="E29" i="2"/>
  <c r="F29" i="2" s="1"/>
  <c r="E50" i="2"/>
  <c r="F50" i="2" s="1"/>
  <c r="E47" i="2"/>
  <c r="F47" i="2" s="1"/>
  <c r="E20" i="2"/>
  <c r="F20" i="2" s="1"/>
  <c r="E17" i="2"/>
  <c r="F17" i="2" s="1"/>
  <c r="E35" i="2"/>
  <c r="F35" i="2" s="1"/>
  <c r="E55" i="2"/>
  <c r="F55" i="2" s="1"/>
  <c r="E64" i="2"/>
  <c r="F64" i="2" s="1"/>
  <c r="E26" i="2"/>
  <c r="F26" i="2" s="1"/>
  <c r="E23" i="2"/>
  <c r="F23" i="2" s="1"/>
  <c r="E43" i="2"/>
  <c r="F43" i="2" s="1"/>
  <c r="E52" i="2"/>
  <c r="F52" i="2" s="1"/>
  <c r="E58" i="2"/>
  <c r="F58" i="2" s="1"/>
  <c r="E31" i="2"/>
  <c r="F31" i="2" s="1"/>
  <c r="E40" i="2"/>
  <c r="F40" i="2" s="1"/>
  <c r="E46" i="2"/>
  <c r="F46" i="2" s="1"/>
  <c r="E19" i="2"/>
  <c r="F19" i="2" s="1"/>
  <c r="E28" i="2"/>
  <c r="F28" i="2" s="1"/>
  <c r="E34" i="2"/>
  <c r="F34" i="2" s="1"/>
  <c r="E54" i="2"/>
  <c r="F54" i="2" s="1"/>
  <c r="E16" i="2"/>
  <c r="E21" i="2"/>
  <c r="F21" i="2" s="1"/>
  <c r="E60" i="2"/>
  <c r="F60" i="2" s="1"/>
  <c r="E57" i="2"/>
  <c r="F57" i="2" s="1"/>
  <c r="E51" i="2"/>
  <c r="F51" i="2" s="1"/>
  <c r="E18" i="2"/>
  <c r="F18" i="2" s="1"/>
  <c r="E27" i="2"/>
  <c r="F27" i="2" s="1"/>
  <c r="E49" i="2"/>
  <c r="F49" i="2" s="1"/>
  <c r="E37" i="2"/>
  <c r="F37" i="2" s="1"/>
  <c r="E25" i="2"/>
  <c r="F25" i="2" s="1"/>
  <c r="E42" i="2"/>
  <c r="F42" i="2" s="1"/>
  <c r="E63" i="2"/>
  <c r="F63" i="2" s="1"/>
  <c r="E30" i="2"/>
  <c r="F30" i="2" s="1"/>
  <c r="E33" i="2"/>
  <c r="F33" i="2" s="1"/>
  <c r="E38" i="2"/>
  <c r="F38" i="2" s="1"/>
  <c r="E48" i="2"/>
  <c r="F48" i="2" s="1"/>
  <c r="E61" i="2"/>
  <c r="F61" i="2" s="1"/>
  <c r="E144" i="1"/>
  <c r="E145" i="1"/>
  <c r="F74" i="1" l="1"/>
  <c r="D74" i="1"/>
  <c r="D195" i="1"/>
  <c r="D75" i="1"/>
  <c r="F75" i="1"/>
  <c r="E65" i="2"/>
  <c r="F65" i="2" s="1"/>
  <c r="F16" i="2"/>
  <c r="F143" i="1"/>
  <c r="F167" i="1" l="1"/>
  <c r="E184" i="1"/>
  <c r="F183" i="1" l="1"/>
  <c r="F192" i="1" l="1"/>
  <c r="F195" i="1" l="1"/>
  <c r="F199" i="1" l="1"/>
</calcChain>
</file>

<file path=xl/sharedStrings.xml><?xml version="1.0" encoding="utf-8"?>
<sst xmlns="http://schemas.openxmlformats.org/spreadsheetml/2006/main" count="454" uniqueCount="407">
  <si>
    <t>Titelnummer</t>
  </si>
  <si>
    <t>Bezeichnung</t>
  </si>
  <si>
    <t>Ansätze 2023</t>
  </si>
  <si>
    <t>Ansätze 2024</t>
  </si>
  <si>
    <t>Erläuterungen</t>
  </si>
  <si>
    <t>Einnahmen</t>
  </si>
  <si>
    <t>25000 grundständige Studierende</t>
  </si>
  <si>
    <t>Steuereinnahmen</t>
  </si>
  <si>
    <t>3900 Promotionsstudierende</t>
  </si>
  <si>
    <t>1</t>
  </si>
  <si>
    <t>Verwaltungseinnahmen</t>
  </si>
  <si>
    <t>100.01</t>
  </si>
  <si>
    <t>VS-Beiträge grundständige Studierende (10 € pro Studi * 2 Semester)</t>
  </si>
  <si>
    <t>für zentrale Zwecke (5,50 € pro Studi * 2 Semester)</t>
  </si>
  <si>
    <t>für die Fachschaften (4,50 € pro Studi * 2 Semester)</t>
  </si>
  <si>
    <t>100.03</t>
  </si>
  <si>
    <t>VS-Beiträge Promotionsstudierende (10 € pro Studi * 2 Semester)</t>
  </si>
  <si>
    <t>für zentrale Zwecke (1,80 € pro Studi * 2 Semester)</t>
  </si>
  <si>
    <t>für den Doktorandenkonvent (8,20 € pro Studi * 2 Semester)</t>
  </si>
  <si>
    <t>Summe 1</t>
  </si>
  <si>
    <t>2</t>
  </si>
  <si>
    <t>Gemischte Einnahmen</t>
  </si>
  <si>
    <t>210</t>
  </si>
  <si>
    <t>Spenden, Zuschüsse Dritter gesamt</t>
  </si>
  <si>
    <t>davon zentral</t>
  </si>
  <si>
    <t>davon dezentral (Fachschaften)</t>
  </si>
  <si>
    <t>211</t>
  </si>
  <si>
    <t>Zuschüsse der Universität</t>
  </si>
  <si>
    <t>221</t>
  </si>
  <si>
    <t>Veranstaltungen zur Orientierung, Beratung und Vernetzung</t>
  </si>
  <si>
    <t>222</t>
  </si>
  <si>
    <t>Einnahmen aus Abschlussveranstaltungen</t>
  </si>
  <si>
    <t>Zentral</t>
  </si>
  <si>
    <t>Fachschaften</t>
  </si>
  <si>
    <t>223</t>
  </si>
  <si>
    <t>Einnahmen aus kulturellen Veranstaltungen</t>
  </si>
  <si>
    <t>240</t>
  </si>
  <si>
    <t>Zinsen</t>
  </si>
  <si>
    <t>250</t>
  </si>
  <si>
    <t>Einnahmen Betrieb gewerblicher Art</t>
  </si>
  <si>
    <t>290</t>
  </si>
  <si>
    <t>Sonstige Einnahmen</t>
  </si>
  <si>
    <t>Summe 2</t>
  </si>
  <si>
    <t>3</t>
  </si>
  <si>
    <t>Rücklagen aus dem Vorjahr</t>
  </si>
  <si>
    <t>310</t>
  </si>
  <si>
    <t>Der Betrag steht erst am Jahresende fest</t>
  </si>
  <si>
    <t>320</t>
  </si>
  <si>
    <t>Rücklage Doktorandenkonvent</t>
  </si>
  <si>
    <t>zentral (für den Umzug der VS)</t>
  </si>
  <si>
    <t>Summe 3</t>
  </si>
  <si>
    <t>Rücklagen aus dem Vorjahr (Kontostand 31.12.)</t>
  </si>
  <si>
    <t>911</t>
  </si>
  <si>
    <t>RNV-Umlage</t>
  </si>
  <si>
    <t>912</t>
  </si>
  <si>
    <t>Campusrad-Umlage</t>
  </si>
  <si>
    <t>Erstattungen Umlagen RNV</t>
  </si>
  <si>
    <t>Rückzahlung 9 € Ticket</t>
  </si>
  <si>
    <t>Erstattungen Umlage CampusRad</t>
  </si>
  <si>
    <t>Theater-Umlage</t>
  </si>
  <si>
    <t>Zwischenrechnung Einnahmen</t>
  </si>
  <si>
    <t>Einnahmen gesamt</t>
  </si>
  <si>
    <t>Ausgaben</t>
  </si>
  <si>
    <t>4</t>
  </si>
  <si>
    <t>Personal</t>
  </si>
  <si>
    <t>410</t>
  </si>
  <si>
    <t>Angestelltes Personal</t>
  </si>
  <si>
    <t>42</t>
  </si>
  <si>
    <t>Aufwandsentschädigung Exekutiv</t>
  </si>
  <si>
    <t>421</t>
  </si>
  <si>
    <t>AE Vorsitz</t>
  </si>
  <si>
    <t>422</t>
  </si>
  <si>
    <t>AE Referate</t>
  </si>
  <si>
    <t>44</t>
  </si>
  <si>
    <t>Aufwandsentschädigung Legislativ</t>
  </si>
  <si>
    <t>441</t>
  </si>
  <si>
    <t>AE Präsidium</t>
  </si>
  <si>
    <t>442</t>
  </si>
  <si>
    <t>AE Protokollführung StuRa</t>
  </si>
  <si>
    <t>45</t>
  </si>
  <si>
    <t>Aufwandsentschädigungen Wahlen</t>
  </si>
  <si>
    <t>451</t>
  </si>
  <si>
    <t>AE Wahlen</t>
  </si>
  <si>
    <t>452</t>
  </si>
  <si>
    <t>AE Wahlen EDV</t>
  </si>
  <si>
    <t>46</t>
  </si>
  <si>
    <t>Personalverwaltung,- entwicklung und Schulungen</t>
  </si>
  <si>
    <t>461</t>
  </si>
  <si>
    <t>Personalverwaltung</t>
  </si>
  <si>
    <t>462</t>
  </si>
  <si>
    <t>Personalentwicklung, Teambuilding und Schulungen</t>
  </si>
  <si>
    <t>Summe 4</t>
  </si>
  <si>
    <t>5</t>
  </si>
  <si>
    <t>Verwaltungs- und Betriebsaufwand</t>
  </si>
  <si>
    <t>51</t>
  </si>
  <si>
    <t>Sächlicher Verwaltungs- und Betriebsaufwand</t>
  </si>
  <si>
    <t>511</t>
  </si>
  <si>
    <t>Büroausstattung</t>
  </si>
  <si>
    <t>512</t>
  </si>
  <si>
    <t>Ausstattung Bibliothek und Archiv</t>
  </si>
  <si>
    <t>513</t>
  </si>
  <si>
    <t>Weitere Ausstattung</t>
  </si>
  <si>
    <t>514</t>
  </si>
  <si>
    <t>Reparatur/ Instandhaltung</t>
  </si>
  <si>
    <t>515</t>
  </si>
  <si>
    <t>Druck- und Kopierkosten</t>
  </si>
  <si>
    <t>516</t>
  </si>
  <si>
    <t>Putz- und Pflegematerial</t>
  </si>
  <si>
    <t>517</t>
  </si>
  <si>
    <t>Kommunikation</t>
  </si>
  <si>
    <t>520</t>
  </si>
  <si>
    <t>Öffentlichkeitsarbeit</t>
  </si>
  <si>
    <t>53</t>
  </si>
  <si>
    <t>Reise-, Teilnahme- und Transportkosten</t>
  </si>
  <si>
    <t>531</t>
  </si>
  <si>
    <t>Dienstreisen</t>
  </si>
  <si>
    <t>532</t>
  </si>
  <si>
    <t>Seminare und Fortbildungen (Teilnahme an externen)</t>
  </si>
  <si>
    <t>533</t>
  </si>
  <si>
    <t>Transportkosten</t>
  </si>
  <si>
    <t>540</t>
  </si>
  <si>
    <t>Bewirtungskosten und Lebensmittel (intern)</t>
  </si>
  <si>
    <t>55</t>
  </si>
  <si>
    <t>Ausgaben für Dienstleistungen</t>
  </si>
  <si>
    <t>550</t>
  </si>
  <si>
    <t>551</t>
  </si>
  <si>
    <t>Dienstleistungen Wahlen</t>
  </si>
  <si>
    <t>1353,03/Quartal</t>
  </si>
  <si>
    <t>552</t>
  </si>
  <si>
    <t>Bankgebühren</t>
  </si>
  <si>
    <t>553</t>
  </si>
  <si>
    <t>560</t>
  </si>
  <si>
    <t>Dankesgeschenke</t>
  </si>
  <si>
    <t>590</t>
  </si>
  <si>
    <t>Steuern, Abgaben</t>
  </si>
  <si>
    <t>Summe 5</t>
  </si>
  <si>
    <t>6</t>
  </si>
  <si>
    <t>Zuweisungen und Förderung</t>
  </si>
  <si>
    <t>61</t>
  </si>
  <si>
    <t>Zuweisungen</t>
  </si>
  <si>
    <t>612</t>
  </si>
  <si>
    <t>613</t>
  </si>
  <si>
    <t>614</t>
  </si>
  <si>
    <t>Autonome Referate</t>
  </si>
  <si>
    <t>62</t>
  </si>
  <si>
    <t>Förderung von Projekten, Gruppen und Initiativen</t>
  </si>
  <si>
    <t>621</t>
  </si>
  <si>
    <t>Unterstützung studentischer Projekte und Gruppen</t>
  </si>
  <si>
    <t>622</t>
  </si>
  <si>
    <t>Pflege der überregionalen und internationalen Studierendenbeziehungen</t>
  </si>
  <si>
    <t>623</t>
  </si>
  <si>
    <t>Förderungen für Fachschaftsprojekte</t>
  </si>
  <si>
    <t>624</t>
  </si>
  <si>
    <t>Solidartopf für kleine Fachschaften zur Unterstützung bei Projekten</t>
  </si>
  <si>
    <t>63</t>
  </si>
  <si>
    <t>Soziale Belange der Studierendenschaft</t>
  </si>
  <si>
    <t>631</t>
  </si>
  <si>
    <t>Notlagenstipendium</t>
  </si>
  <si>
    <t>631,632,633: max 10% von 568000</t>
  </si>
  <si>
    <t>632</t>
  </si>
  <si>
    <t>Unterstützung geflüchteter Studierender in wirtschaftlicher Notlage</t>
  </si>
  <si>
    <t>633</t>
  </si>
  <si>
    <t>Exkursionsförderung für Härtefälle</t>
  </si>
  <si>
    <t>634</t>
  </si>
  <si>
    <t>Rechtsberatung für Studierende</t>
  </si>
  <si>
    <t>64</t>
  </si>
  <si>
    <t>Übergeordnete Organisationen</t>
  </si>
  <si>
    <t>641</t>
  </si>
  <si>
    <t>Mitgliedsbeiträge zentral</t>
  </si>
  <si>
    <t>65</t>
  </si>
  <si>
    <t>Verbindlichkeiten aus Vorjahresbeschlüssen</t>
  </si>
  <si>
    <t>651</t>
  </si>
  <si>
    <t>Zusagen an Gruppen und Initiativen aus dem Vorjahr</t>
  </si>
  <si>
    <t>652</t>
  </si>
  <si>
    <t>weitere Verbindlichkeiten</t>
  </si>
  <si>
    <t>Summe 6</t>
  </si>
  <si>
    <t xml:space="preserve">7 </t>
  </si>
  <si>
    <t>Projekte der VS</t>
  </si>
  <si>
    <t>710</t>
  </si>
  <si>
    <t>Projekte und Veranstaltungen inhaltlicher Art</t>
  </si>
  <si>
    <t>721</t>
  </si>
  <si>
    <t>722</t>
  </si>
  <si>
    <t>Überregionale Vernetzungsveranstaltungen</t>
  </si>
  <si>
    <t>730</t>
  </si>
  <si>
    <t>Abschlussveranstaltungen</t>
  </si>
  <si>
    <t>740</t>
  </si>
  <si>
    <t>Projekte und Veranstaltungen kultureller und geselliger Art</t>
  </si>
  <si>
    <t>Umschichtung zu Lebensmittelkosten</t>
  </si>
  <si>
    <t>750</t>
  </si>
  <si>
    <t>Bewirtungskosten und Lebensmittel</t>
  </si>
  <si>
    <t>780</t>
  </si>
  <si>
    <t>Betrieb gewerblicher Art</t>
  </si>
  <si>
    <t>790</t>
  </si>
  <si>
    <t>Zahlungen aus (zweckgebundenen) Rücklagen</t>
  </si>
  <si>
    <t>Entnahme aus Rücklagen</t>
  </si>
  <si>
    <t>Summe 7</t>
  </si>
  <si>
    <t>Rückerstattung RNV-Umlage</t>
  </si>
  <si>
    <t>Rückerstattung Campusrad-Umlage</t>
  </si>
  <si>
    <t>Kapitelnummer</t>
  </si>
  <si>
    <t>01</t>
  </si>
  <si>
    <t>02</t>
  </si>
  <si>
    <t>03</t>
  </si>
  <si>
    <t>Doktorandenkonvent</t>
  </si>
  <si>
    <t>04</t>
  </si>
  <si>
    <t>0401</t>
  </si>
  <si>
    <t>0402</t>
  </si>
  <si>
    <t>0403</t>
  </si>
  <si>
    <t>0404</t>
  </si>
  <si>
    <t>Sockelbetrag</t>
  </si>
  <si>
    <t>Gesamt</t>
  </si>
  <si>
    <r>
      <t>Endgültige Zuweisung</t>
    </r>
    <r>
      <rPr>
        <b/>
        <vertAlign val="superscript"/>
        <sz val="11"/>
        <color theme="1"/>
        <rFont val="Calibri"/>
        <scheme val="minor"/>
      </rPr>
      <t>2</t>
    </r>
  </si>
  <si>
    <t>0201</t>
  </si>
  <si>
    <t>Ägyptologie</t>
  </si>
  <si>
    <t>0202</t>
  </si>
  <si>
    <t>Alte Geschichte</t>
  </si>
  <si>
    <t>0203</t>
  </si>
  <si>
    <t>American Studies</t>
  </si>
  <si>
    <t>0204</t>
  </si>
  <si>
    <t>Anglistik</t>
  </si>
  <si>
    <t>0205</t>
  </si>
  <si>
    <t>Assyriologie</t>
  </si>
  <si>
    <t>Biologie</t>
  </si>
  <si>
    <t>0208</t>
  </si>
  <si>
    <t>Chemie/Biochemie</t>
  </si>
  <si>
    <t>0209</t>
  </si>
  <si>
    <t>Computerlinguistik</t>
  </si>
  <si>
    <t>0210</t>
  </si>
  <si>
    <t>Deutsch als Fremdsprache</t>
  </si>
  <si>
    <t>0211</t>
  </si>
  <si>
    <t>Erziehung und Bildung</t>
  </si>
  <si>
    <t>0212</t>
  </si>
  <si>
    <t>Ethnologie</t>
  </si>
  <si>
    <t>Geowissenschaften</t>
  </si>
  <si>
    <t>Geographie</t>
  </si>
  <si>
    <t>Germanistik</t>
  </si>
  <si>
    <t>Gerontologie&amp;Care</t>
  </si>
  <si>
    <t>Geschichte</t>
  </si>
  <si>
    <t>Informatik *</t>
  </si>
  <si>
    <t>Islamwissenschaft</t>
  </si>
  <si>
    <t>Japanologie</t>
  </si>
  <si>
    <t>Jura</t>
  </si>
  <si>
    <t>Klassische Philologie</t>
  </si>
  <si>
    <t>Kunstgeschichte (Europäische)</t>
  </si>
  <si>
    <t>0226</t>
  </si>
  <si>
    <t>Medizin Heidelberg</t>
  </si>
  <si>
    <t>0227</t>
  </si>
  <si>
    <t>Medizin Mannheim</t>
  </si>
  <si>
    <t>0228</t>
  </si>
  <si>
    <t>0229</t>
  </si>
  <si>
    <t>Molekulare Biotechnologie</t>
  </si>
  <si>
    <t>0230</t>
  </si>
  <si>
    <t>Musikwissenschaft</t>
  </si>
  <si>
    <t>Ostasiatische Kunstgeschichte</t>
  </si>
  <si>
    <t xml:space="preserve">Pharmazie </t>
  </si>
  <si>
    <t>Philosophie</t>
  </si>
  <si>
    <t>Politikwissenschaft</t>
  </si>
  <si>
    <t>Psychologie</t>
  </si>
  <si>
    <t xml:space="preserve">Religionswissenschaft </t>
  </si>
  <si>
    <t>Romanistik</t>
  </si>
  <si>
    <t>Semitistik</t>
  </si>
  <si>
    <t>Sinologie</t>
  </si>
  <si>
    <t>Slavistik/Osteuropastudien</t>
  </si>
  <si>
    <t>Soziologie</t>
  </si>
  <si>
    <t>Sport</t>
  </si>
  <si>
    <t>Südasienwissenschaften (Fachschaft am SAI)</t>
  </si>
  <si>
    <t>Theologie (Evangelische)</t>
  </si>
  <si>
    <t>Transcultural Studies</t>
  </si>
  <si>
    <t>Übersetzen und Dolmetschen (Fachschaft am IÜD)</t>
  </si>
  <si>
    <t>Volkswirtschaftslehre (VWL)</t>
  </si>
  <si>
    <t>Zahnmedizin</t>
  </si>
  <si>
    <t>* nicht aufgeführt sind hier durchlaufenden Gelder für Schlüsselkautionen</t>
  </si>
  <si>
    <t>Einsatzgebiet</t>
  </si>
  <si>
    <t>Finanzen</t>
  </si>
  <si>
    <t>Belegprüfung/Bürosupport</t>
  </si>
  <si>
    <t>Haushalt/Verwaltung</t>
  </si>
  <si>
    <t>E11</t>
  </si>
  <si>
    <t>E6</t>
  </si>
  <si>
    <t>Gremien</t>
  </si>
  <si>
    <t>Gremiensupport</t>
  </si>
  <si>
    <t>E 5</t>
  </si>
  <si>
    <t>EDV</t>
  </si>
  <si>
    <t>EDV-Service</t>
  </si>
  <si>
    <t>Server/Administration</t>
  </si>
  <si>
    <t>E9b</t>
  </si>
  <si>
    <t>Büro/Service</t>
  </si>
  <si>
    <t>Ausleihe/Räume/Beschaffung</t>
  </si>
  <si>
    <t>E9a</t>
  </si>
  <si>
    <t>Gesamtanzahl:</t>
  </si>
  <si>
    <t>Haushaltsplan 2024 der Verfassten Studierendenschaft der Universität Heidelberg</t>
  </si>
  <si>
    <t>Unterschied zu 2023</t>
  </si>
  <si>
    <t>(2024: ausgehend von 25000 grundständigen Studierenden)</t>
  </si>
  <si>
    <t>(2023: ausgehend von 3900 Promotionsstudierenden)</t>
  </si>
  <si>
    <t>2024: Studierende gesamt: 28900</t>
  </si>
  <si>
    <t>Klassische und Byzantinische Archäologie</t>
  </si>
  <si>
    <t>Mittelalterstudien/Cultural Heritage</t>
  </si>
  <si>
    <t>VZÄ für 202</t>
  </si>
  <si>
    <t>UFG/VA/GA - Ur- und Frühgeschichte/Vorderasiatische und Geo-Archäologie</t>
  </si>
  <si>
    <t>Zuweisungen pro VZÄ</t>
  </si>
  <si>
    <t>FS-Zuweisungen gesamt</t>
  </si>
  <si>
    <r>
      <rPr>
        <vertAlign val="superscript"/>
        <sz val="11"/>
        <color theme="1"/>
        <rFont val="Calibri"/>
        <scheme val="minor"/>
      </rPr>
      <t xml:space="preserve">2 </t>
    </r>
    <r>
      <rPr>
        <sz val="11"/>
        <color theme="1"/>
        <rFont val="Calibri"/>
        <scheme val="minor"/>
      </rPr>
      <t>Bis 5000 Euro wurden die Centbeträge aufgerundet, ab 5000 Euro abgerundet, dann die Beträge der beiden FSen mit den höchsten Zuweisungen minimal gekürzt, damit die Summe weiterhin 225000 ergibt</t>
    </r>
  </si>
  <si>
    <r>
      <t>Betrag nach VZÄ</t>
    </r>
    <r>
      <rPr>
        <b/>
        <vertAlign val="superscript"/>
        <sz val="11"/>
        <color theme="1"/>
        <rFont val="Calibri"/>
        <scheme val="minor"/>
      </rPr>
      <t>1</t>
    </r>
  </si>
  <si>
    <t>Physik*</t>
  </si>
  <si>
    <t>Mathematik*</t>
  </si>
  <si>
    <t>Gesundheitsreferat</t>
  </si>
  <si>
    <t>Antira-Referat</t>
  </si>
  <si>
    <t>Queerreferat</t>
  </si>
  <si>
    <t>IT´s FuN-Referat</t>
  </si>
  <si>
    <r>
      <rPr>
        <vertAlign val="superscript"/>
        <sz val="11"/>
        <color theme="1"/>
        <rFont val="Calibri"/>
        <scheme val="minor"/>
      </rPr>
      <t>1</t>
    </r>
    <r>
      <rPr>
        <sz val="11"/>
        <color theme="1"/>
        <rFont val="Calibri"/>
        <scheme val="minor"/>
      </rPr>
      <t>Die Fachschaften erhalten insgesamt 4,50 vom VS-Beitrag der grundständigen Studierenden (insgesamt 10 Euro pro Studi und Semester =&gt; 225.000 Euro). Bei der Zuweisung auf die einzelnen FSen erhält zuerst jede FS aus der Gesamtzuweisung einen Sockelbetrag in Höhe von 2250€ (1125/Semester). Der verbleibende Rest der Gesamtzuweisung an die FSen wird nach Anteil an den Vollzeitäquivalenten (VZÄ) auf die FSen verteilt. Bei Studierenden, die in einem Studiengang mehrere Fächer studieren, wird so der Beitrag anteilig auf die betroffenen FSen aufgeteilt. Die Vollzeitäquivalente (VZÄ) geben also nicht die Zahl der Studierenden wieder, sondern sind die Summer der aufaddierten Studienanteile aller Studierenden.</t>
    </r>
  </si>
  <si>
    <t>Zuweisungen 2024</t>
  </si>
  <si>
    <t>Zuweisung an die Fachschaften 2024</t>
  </si>
  <si>
    <t>Gruppe</t>
  </si>
  <si>
    <t>Stufe</t>
  </si>
  <si>
    <t>neue Stufe</t>
  </si>
  <si>
    <t>Monatsfaktor: 4,348</t>
  </si>
  <si>
    <t xml:space="preserve">E4 </t>
  </si>
  <si>
    <t>6M</t>
  </si>
  <si>
    <t>Endstufe</t>
  </si>
  <si>
    <t>E4</t>
  </si>
  <si>
    <t>2M</t>
  </si>
  <si>
    <t>E7</t>
  </si>
  <si>
    <t>3M</t>
  </si>
  <si>
    <t>eins</t>
  </si>
  <si>
    <t>Stellenplan 2024</t>
  </si>
  <si>
    <t>Wochenstunden (von 39,5)</t>
  </si>
  <si>
    <t>% einer VZ gerundet</t>
  </si>
  <si>
    <t>Betrag brutto 2023</t>
  </si>
  <si>
    <t>In % einer VZ</t>
  </si>
  <si>
    <t>VZ: Vollzeitstelle</t>
  </si>
  <si>
    <t>Schwerpunkt engl. Öffarbeit</t>
  </si>
  <si>
    <t>Öffarbeit/Pressearbeit</t>
  </si>
  <si>
    <t>Überweisungen/Buchhaltung</t>
  </si>
  <si>
    <t>Stellen-Anzahl</t>
  </si>
  <si>
    <t>Jahresgehalt gerundet</t>
  </si>
  <si>
    <r>
      <rPr>
        <b/>
        <sz val="11"/>
        <color theme="1"/>
        <rFont val="Calibri"/>
        <family val="2"/>
        <scheme val="minor"/>
      </rPr>
      <t>Monatsstunden</t>
    </r>
    <r>
      <rPr>
        <sz val="11"/>
        <color theme="1"/>
        <rFont val="Calibri"/>
        <family val="2"/>
        <scheme val="minor"/>
      </rPr>
      <t xml:space="preserve"> </t>
    </r>
    <r>
      <rPr>
        <sz val="10"/>
        <color theme="1"/>
        <rFont val="Calibri"/>
        <family val="2"/>
        <scheme val="minor"/>
      </rPr>
      <t>(mit Monatsfaktor</t>
    </r>
    <r>
      <rPr>
        <sz val="11"/>
        <color theme="1"/>
        <rFont val="Calibri"/>
        <family val="2"/>
        <scheme val="minor"/>
      </rPr>
      <t>)</t>
    </r>
  </si>
  <si>
    <t>mit Tarif- und Stundenerhöhg. Stufenanstieg, Überstd. Verwaltungskosten, Lohnsteuer etc.</t>
  </si>
  <si>
    <t>111</t>
  </si>
  <si>
    <t>112</t>
  </si>
  <si>
    <t>113</t>
  </si>
  <si>
    <t>291</t>
  </si>
  <si>
    <t>292</t>
  </si>
  <si>
    <t>570</t>
  </si>
  <si>
    <t>580</t>
  </si>
  <si>
    <t>Durch die Beitragsordnung gesondert festgelegte Ausgaben</t>
  </si>
  <si>
    <t>110</t>
  </si>
  <si>
    <t>Durch die Beitragsordnung zweckgebundene Einnahmen</t>
  </si>
  <si>
    <t>Einnahmen + Rücklagen aus dem Vorjahr</t>
  </si>
  <si>
    <t>581</t>
  </si>
  <si>
    <t>582</t>
  </si>
  <si>
    <t>583</t>
  </si>
  <si>
    <t>518</t>
  </si>
  <si>
    <t>Rückzahlung Kaution</t>
  </si>
  <si>
    <t>571</t>
  </si>
  <si>
    <t>572</t>
  </si>
  <si>
    <t>573</t>
  </si>
  <si>
    <t>9</t>
  </si>
  <si>
    <t>Summe 9</t>
  </si>
  <si>
    <t>Einstellung Rücklagen</t>
  </si>
  <si>
    <t>Rücklagen</t>
  </si>
  <si>
    <t>Saldo</t>
  </si>
  <si>
    <t>Schlüsselkautionen (Durchlaufend)</t>
  </si>
  <si>
    <t>Anpassung an erwartete Ausgaben</t>
  </si>
  <si>
    <t>910</t>
  </si>
  <si>
    <t>Anpassung an tatsächliche Kosten</t>
  </si>
  <si>
    <t>Darstellung</t>
  </si>
  <si>
    <t>Serverkosten, Verwaltungssoftware IT/Finanzen</t>
  </si>
  <si>
    <t>diverse Dienstleistungen</t>
  </si>
  <si>
    <t>Rundung - sieht besser aus</t>
  </si>
  <si>
    <t>Benennung</t>
  </si>
  <si>
    <t>Darstellung/Benennung</t>
  </si>
  <si>
    <t>Erfahrungswert</t>
  </si>
  <si>
    <t>Anpassung an Erwartungen</t>
  </si>
  <si>
    <t>920</t>
  </si>
  <si>
    <t>Einstellung in allgemeine Rücklage</t>
  </si>
  <si>
    <t>921</t>
  </si>
  <si>
    <t>Umzug der VS</t>
  </si>
  <si>
    <t>Einstellung in zweckgebundene Rücklage</t>
  </si>
  <si>
    <t>922</t>
  </si>
  <si>
    <t>Restposten</t>
  </si>
  <si>
    <t>Aufgeräumt</t>
  </si>
  <si>
    <t>230</t>
  </si>
  <si>
    <t>Kaution</t>
  </si>
  <si>
    <t>242</t>
  </si>
  <si>
    <t>Schlüsselkaution</t>
  </si>
  <si>
    <t xml:space="preserve">Hälftig als Einnahme, hälftig als Rücklage </t>
  </si>
  <si>
    <t>siehe 242</t>
  </si>
  <si>
    <t>Schlüsselkautionen</t>
  </si>
  <si>
    <t>923</t>
  </si>
  <si>
    <t>Saldo HHJ23 nicht darstellbar</t>
  </si>
  <si>
    <t>Anpassung an Erfahrungswert</t>
  </si>
  <si>
    <t>312</t>
  </si>
  <si>
    <t>Entnahme aus allgemeiner Rücklage</t>
  </si>
  <si>
    <t>311</t>
  </si>
  <si>
    <t>zentrale allgemeine Rücklage</t>
  </si>
  <si>
    <t>321</t>
  </si>
  <si>
    <t>322</t>
  </si>
  <si>
    <t>323</t>
  </si>
  <si>
    <t>329</t>
  </si>
  <si>
    <t>Entnahme aus zweckgebundener Rücklage</t>
  </si>
  <si>
    <t>Nicht ihrem Zwecke zugefügte Mittel werden am Ende des Haushaltsjahres soweit nicht anders festgelegt in die zentrale allgemeine Rücklage überführt.</t>
  </si>
  <si>
    <t>Rückerstattungen Beitragszahlungen</t>
  </si>
  <si>
    <t>Fachschaften (ohne Rücklagen: diese siehe 321)</t>
  </si>
  <si>
    <t>Doktorandenkonvent (ohne Rücklagen: diese siehe 312)</t>
  </si>
  <si>
    <t>443</t>
  </si>
  <si>
    <t>AE Notlagenausschuss</t>
  </si>
  <si>
    <t>Zwischenrechnung Ausgaben</t>
  </si>
  <si>
    <t>Ausgaben gesamt</t>
  </si>
  <si>
    <t>Fachschaftsnummer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</si>
</sst>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 [$€-407];[Red]\-#,##0.00\ [$€-407]"/>
    <numFmt numFmtId="166" formatCode="#,##0.00_ ;[Red]\-#,##0.00\ "/>
    <numFmt numFmtId="167" formatCode="#,##0.00\ _€"/>
  </numFmts>
  <fonts count="3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scheme val="minor"/>
    </font>
    <font>
      <sz val="11"/>
      <color rgb="FF9C6500"/>
      <name val="Calibri"/>
      <scheme val="minor"/>
    </font>
    <font>
      <sz val="11"/>
      <color rgb="FF9C0006"/>
      <name val="Calibri"/>
      <scheme val="minor"/>
    </font>
    <font>
      <sz val="11"/>
      <color indexed="64"/>
      <name val="Calibri"/>
    </font>
    <font>
      <b/>
      <sz val="20"/>
      <color theme="1"/>
      <name val="Calibri"/>
      <scheme val="minor"/>
    </font>
    <font>
      <b/>
      <sz val="11"/>
      <color theme="1"/>
      <name val="Calibri"/>
      <scheme val="minor"/>
    </font>
    <font>
      <b/>
      <sz val="12"/>
      <color theme="1"/>
      <name val="Calibri"/>
      <scheme val="minor"/>
    </font>
    <font>
      <b/>
      <u/>
      <sz val="11"/>
      <color theme="1"/>
      <name val="Calibri"/>
      <scheme val="minor"/>
    </font>
    <font>
      <i/>
      <sz val="11"/>
      <color theme="1"/>
      <name val="Calibri"/>
      <scheme val="minor"/>
    </font>
    <font>
      <sz val="11"/>
      <color rgb="FF485365"/>
      <name val="Arial"/>
    </font>
    <font>
      <sz val="10"/>
      <color theme="1"/>
      <name val="Calibri"/>
      <scheme val="minor"/>
    </font>
    <font>
      <sz val="11"/>
      <name val="Calibri"/>
      <scheme val="minor"/>
    </font>
    <font>
      <sz val="16"/>
      <color theme="1"/>
      <name val="Arial"/>
    </font>
    <font>
      <i/>
      <sz val="11"/>
      <name val="Calibri"/>
      <scheme val="minor"/>
    </font>
    <font>
      <b/>
      <sz val="11"/>
      <name val="Calibri"/>
      <scheme val="minor"/>
    </font>
    <font>
      <b/>
      <sz val="14"/>
      <color theme="1"/>
      <name val="Calibri"/>
      <scheme val="minor"/>
    </font>
    <font>
      <sz val="11"/>
      <color indexed="64"/>
      <name val="Arial"/>
    </font>
    <font>
      <sz val="11"/>
      <color theme="1"/>
      <name val="Calibri"/>
      <scheme val="minor"/>
    </font>
    <font>
      <b/>
      <vertAlign val="superscript"/>
      <sz val="11"/>
      <color theme="1"/>
      <name val="Calibri"/>
      <scheme val="minor"/>
    </font>
    <font>
      <vertAlign val="superscript"/>
      <sz val="11"/>
      <color theme="1"/>
      <name val="Calibri"/>
      <scheme val="minor"/>
    </font>
    <font>
      <b/>
      <sz val="11"/>
      <color theme="1"/>
      <name val="Calibri"/>
      <family val="2"/>
      <scheme val="minor"/>
    </font>
    <font>
      <b/>
      <i/>
      <sz val="12"/>
      <color theme="1"/>
      <name val="Calibri"/>
      <family val="2"/>
      <scheme val="minor"/>
    </font>
    <font>
      <i/>
      <sz val="11"/>
      <color theme="1"/>
      <name val="Calibri"/>
      <family val="2"/>
      <scheme val="minor"/>
    </font>
    <font>
      <b/>
      <sz val="15"/>
      <color theme="1"/>
      <name val="Calibri"/>
      <family val="2"/>
      <scheme val="minor"/>
    </font>
    <font>
      <b/>
      <sz val="11"/>
      <color rgb="FF000000"/>
      <name val="Arial"/>
      <family val="2"/>
      <charset val="1"/>
    </font>
    <font>
      <b/>
      <sz val="15"/>
      <color rgb="FF000000"/>
      <name val="Arial"/>
      <family val="2"/>
    </font>
    <font>
      <b/>
      <sz val="12"/>
      <color theme="1"/>
      <name val="Calibri"/>
      <family val="2"/>
      <scheme val="minor"/>
    </font>
    <font>
      <sz val="10"/>
      <color theme="1"/>
      <name val="Calibri"/>
      <family val="2"/>
      <scheme val="minor"/>
    </font>
    <font>
      <sz val="11"/>
      <color rgb="FFFF0000"/>
      <name val="Calibri"/>
      <family val="2"/>
      <scheme val="minor"/>
    </font>
    <font>
      <sz val="16"/>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rgb="FFC6EFCE"/>
        <bgColor rgb="FFC6EFCE"/>
      </patternFill>
    </fill>
    <fill>
      <patternFill patternType="solid">
        <fgColor rgb="FFFFEB9C"/>
        <bgColor rgb="FFFFEB9C"/>
      </patternFill>
    </fill>
    <fill>
      <patternFill patternType="solid">
        <fgColor rgb="FFFFC7CE"/>
        <bgColor rgb="FFFFC7CE"/>
      </patternFill>
    </fill>
    <fill>
      <patternFill patternType="solid">
        <fgColor indexed="5"/>
        <bgColor indexed="5"/>
      </patternFill>
    </fill>
    <fill>
      <patternFill patternType="solid">
        <fgColor rgb="FF92D050"/>
        <bgColor rgb="FF92D050"/>
      </patternFill>
    </fill>
    <fill>
      <patternFill patternType="solid">
        <fgColor rgb="FF00B0F0"/>
        <bgColor rgb="FF00B0F0"/>
      </patternFill>
    </fill>
    <fill>
      <patternFill patternType="solid">
        <fgColor theme="0"/>
        <bgColor theme="0"/>
      </patternFill>
    </fill>
    <fill>
      <patternFill patternType="solid">
        <fgColor theme="0" tint="-0.14996795556505021"/>
        <bgColor indexed="64"/>
      </patternFill>
    </fill>
    <fill>
      <patternFill patternType="solid">
        <fgColor theme="0" tint="-0.14999847407452621"/>
        <bgColor indexed="64"/>
      </patternFill>
    </fill>
    <fill>
      <patternFill patternType="solid">
        <fgColor theme="7"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style="thin">
        <color auto="1"/>
      </left>
      <right/>
      <top style="thick">
        <color auto="1"/>
      </top>
      <bottom style="thick">
        <color auto="1"/>
      </bottom>
      <diagonal/>
    </border>
    <border>
      <left style="thin">
        <color auto="1"/>
      </left>
      <right/>
      <top style="thick">
        <color auto="1"/>
      </top>
      <bottom/>
      <diagonal/>
    </border>
    <border>
      <left style="thin">
        <color auto="1"/>
      </left>
      <right/>
      <top/>
      <bottom style="thick">
        <color auto="1"/>
      </bottom>
      <diagonal/>
    </border>
  </borders>
  <cellStyleXfs count="6">
    <xf numFmtId="0" fontId="0" fillId="0" borderId="0"/>
    <xf numFmtId="0" fontId="4" fillId="2" borderId="0" applyNumberFormat="0" applyBorder="0" applyProtection="0"/>
    <xf numFmtId="0" fontId="5" fillId="3" borderId="0" applyNumberFormat="0" applyBorder="0" applyProtection="0"/>
    <xf numFmtId="0" fontId="6" fillId="4" borderId="0" applyNumberFormat="0" applyBorder="0" applyProtection="0"/>
    <xf numFmtId="0" fontId="7" fillId="0" borderId="0"/>
    <xf numFmtId="44" fontId="21" fillId="0" borderId="0" applyFont="0" applyFill="0" applyBorder="0" applyProtection="0"/>
  </cellStyleXfs>
  <cellXfs count="279">
    <xf numFmtId="0" fontId="0" fillId="0" borderId="0" xfId="0"/>
    <xf numFmtId="164" fontId="0" fillId="0" borderId="0" xfId="0" applyNumberFormat="1"/>
    <xf numFmtId="8" fontId="0" fillId="0" borderId="0" xfId="0" applyNumberFormat="1"/>
    <xf numFmtId="0" fontId="9" fillId="0" borderId="1" xfId="0" applyFont="1" applyBorder="1"/>
    <xf numFmtId="164" fontId="9" fillId="0" borderId="2" xfId="0" applyNumberFormat="1" applyFont="1" applyBorder="1"/>
    <xf numFmtId="0" fontId="0" fillId="0" borderId="3" xfId="0" applyBorder="1"/>
    <xf numFmtId="8" fontId="9" fillId="0" borderId="3" xfId="0" applyNumberFormat="1" applyFont="1" applyBorder="1"/>
    <xf numFmtId="0" fontId="9" fillId="0" borderId="1" xfId="0" applyFont="1" applyBorder="1" applyAlignment="1">
      <alignment horizontal="right"/>
    </xf>
    <xf numFmtId="8" fontId="0" fillId="5" borderId="0" xfId="0" applyNumberFormat="1" applyFill="1"/>
    <xf numFmtId="0" fontId="0" fillId="5" borderId="5" xfId="0" applyFill="1" applyBorder="1"/>
    <xf numFmtId="8" fontId="0" fillId="6" borderId="0" xfId="0" applyNumberFormat="1" applyFill="1"/>
    <xf numFmtId="0" fontId="0" fillId="6" borderId="5" xfId="0" applyFill="1" applyBorder="1"/>
    <xf numFmtId="3" fontId="0" fillId="0" borderId="0" xfId="0" applyNumberFormat="1"/>
    <xf numFmtId="49" fontId="0" fillId="0" borderId="0" xfId="0" applyNumberFormat="1"/>
    <xf numFmtId="0" fontId="11" fillId="0" borderId="0" xfId="0" applyFont="1"/>
    <xf numFmtId="49" fontId="9" fillId="7" borderId="6" xfId="0" applyNumberFormat="1" applyFont="1" applyFill="1" applyBorder="1"/>
    <xf numFmtId="0" fontId="9" fillId="7" borderId="6" xfId="0" applyFont="1" applyFill="1" applyBorder="1"/>
    <xf numFmtId="8" fontId="0" fillId="7" borderId="6" xfId="0" applyNumberFormat="1" applyFill="1" applyBorder="1"/>
    <xf numFmtId="0" fontId="0" fillId="7" borderId="7" xfId="0" applyFill="1" applyBorder="1"/>
    <xf numFmtId="0" fontId="0" fillId="8" borderId="0" xfId="0" applyFill="1"/>
    <xf numFmtId="49" fontId="11" fillId="8" borderId="0" xfId="0" applyNumberFormat="1" applyFont="1" applyFill="1"/>
    <xf numFmtId="0" fontId="11" fillId="8" borderId="0" xfId="0" applyFont="1" applyFill="1"/>
    <xf numFmtId="8" fontId="0" fillId="8" borderId="6" xfId="0" applyNumberFormat="1" applyFill="1" applyBorder="1"/>
    <xf numFmtId="0" fontId="0" fillId="8" borderId="8" xfId="0" applyFill="1" applyBorder="1"/>
    <xf numFmtId="8" fontId="0" fillId="0" borderId="6" xfId="0" applyNumberFormat="1" applyBorder="1"/>
    <xf numFmtId="0" fontId="0" fillId="0" borderId="8" xfId="0" applyBorder="1"/>
    <xf numFmtId="8" fontId="0" fillId="8" borderId="0" xfId="0" applyNumberFormat="1" applyFill="1"/>
    <xf numFmtId="49" fontId="9" fillId="7" borderId="9" xfId="0" applyNumberFormat="1" applyFont="1" applyFill="1" applyBorder="1"/>
    <xf numFmtId="0" fontId="9" fillId="7" borderId="10" xfId="0" applyFont="1" applyFill="1" applyBorder="1"/>
    <xf numFmtId="8" fontId="0" fillId="5" borderId="10" xfId="0" applyNumberFormat="1" applyFill="1" applyBorder="1"/>
    <xf numFmtId="0" fontId="0" fillId="5" borderId="10" xfId="0" applyFill="1" applyBorder="1"/>
    <xf numFmtId="8" fontId="0" fillId="6" borderId="9" xfId="0" applyNumberFormat="1" applyFill="1" applyBorder="1"/>
    <xf numFmtId="0" fontId="0" fillId="6" borderId="11" xfId="0" applyFill="1" applyBorder="1"/>
    <xf numFmtId="49" fontId="0" fillId="0" borderId="12" xfId="0" applyNumberFormat="1" applyBorder="1"/>
    <xf numFmtId="0" fontId="0" fillId="0" borderId="1" xfId="0" applyBorder="1"/>
    <xf numFmtId="8" fontId="0" fillId="6" borderId="13" xfId="0" applyNumberFormat="1" applyFill="1" applyBorder="1"/>
    <xf numFmtId="8" fontId="0" fillId="6" borderId="5" xfId="0" applyNumberFormat="1" applyFill="1" applyBorder="1"/>
    <xf numFmtId="0" fontId="0" fillId="0" borderId="13" xfId="0" applyBorder="1"/>
    <xf numFmtId="0" fontId="12" fillId="0" borderId="0" xfId="0" applyFont="1"/>
    <xf numFmtId="164" fontId="12" fillId="5" borderId="0" xfId="0" applyNumberFormat="1" applyFont="1" applyFill="1"/>
    <xf numFmtId="0" fontId="0" fillId="5" borderId="0" xfId="0" applyFill="1"/>
    <xf numFmtId="164" fontId="12" fillId="6" borderId="13" xfId="0" applyNumberFormat="1" applyFont="1" applyFill="1" applyBorder="1"/>
    <xf numFmtId="0" fontId="12" fillId="0" borderId="0" xfId="0" quotePrefix="1" applyFont="1"/>
    <xf numFmtId="0" fontId="12" fillId="0" borderId="0" xfId="0" applyFont="1" applyAlignment="1">
      <alignment horizontal="right"/>
    </xf>
    <xf numFmtId="0" fontId="14" fillId="0" borderId="0" xfId="0" applyFont="1"/>
    <xf numFmtId="49" fontId="0" fillId="0" borderId="13" xfId="0" applyNumberFormat="1" applyBorder="1"/>
    <xf numFmtId="8" fontId="12" fillId="5" borderId="0" xfId="0" applyNumberFormat="1" applyFont="1" applyFill="1"/>
    <xf numFmtId="8" fontId="12" fillId="6" borderId="13" xfId="0" applyNumberFormat="1" applyFont="1" applyFill="1" applyBorder="1"/>
    <xf numFmtId="49" fontId="9" fillId="7" borderId="15" xfId="0" applyNumberFormat="1" applyFont="1" applyFill="1" applyBorder="1"/>
    <xf numFmtId="164" fontId="9" fillId="7" borderId="6" xfId="0" applyNumberFormat="1" applyFont="1" applyFill="1" applyBorder="1"/>
    <xf numFmtId="164" fontId="9" fillId="7" borderId="15" xfId="0" applyNumberFormat="1" applyFont="1" applyFill="1" applyBorder="1"/>
    <xf numFmtId="164" fontId="9" fillId="7" borderId="7" xfId="0" applyNumberFormat="1" applyFont="1" applyFill="1" applyBorder="1"/>
    <xf numFmtId="49" fontId="0" fillId="8" borderId="0" xfId="0" applyNumberFormat="1" applyFill="1"/>
    <xf numFmtId="0" fontId="9" fillId="0" borderId="0" xfId="0" applyFont="1"/>
    <xf numFmtId="8" fontId="9" fillId="5" borderId="0" xfId="0" applyNumberFormat="1" applyFont="1" applyFill="1"/>
    <xf numFmtId="0" fontId="9" fillId="5" borderId="10" xfId="0" applyFont="1" applyFill="1" applyBorder="1"/>
    <xf numFmtId="8" fontId="9" fillId="6" borderId="9" xfId="0" applyNumberFormat="1" applyFont="1" applyFill="1" applyBorder="1"/>
    <xf numFmtId="0" fontId="9" fillId="6" borderId="11" xfId="0" applyFont="1" applyFill="1" applyBorder="1"/>
    <xf numFmtId="0" fontId="12" fillId="5" borderId="0" xfId="0" applyFont="1" applyFill="1"/>
    <xf numFmtId="164" fontId="9" fillId="0" borderId="0" xfId="0" applyNumberFormat="1" applyFont="1"/>
    <xf numFmtId="8" fontId="9" fillId="5" borderId="10" xfId="0" applyNumberFormat="1" applyFont="1" applyFill="1" applyBorder="1"/>
    <xf numFmtId="8" fontId="0" fillId="7" borderId="15" xfId="0" applyNumberFormat="1" applyFill="1" applyBorder="1"/>
    <xf numFmtId="8" fontId="0" fillId="7" borderId="7" xfId="0" applyNumberFormat="1" applyFill="1" applyBorder="1"/>
    <xf numFmtId="0" fontId="0" fillId="0" borderId="0" xfId="0"/>
    <xf numFmtId="49" fontId="9" fillId="0" borderId="9" xfId="0" applyNumberFormat="1" applyFont="1" applyBorder="1"/>
    <xf numFmtId="0" fontId="0" fillId="0" borderId="10" xfId="0" applyBorder="1"/>
    <xf numFmtId="0" fontId="0" fillId="5" borderId="11" xfId="0" applyFill="1" applyBorder="1"/>
    <xf numFmtId="8" fontId="0" fillId="6" borderId="10" xfId="0" applyNumberFormat="1" applyFill="1" applyBorder="1"/>
    <xf numFmtId="164" fontId="0" fillId="5" borderId="5" xfId="0" applyNumberFormat="1" applyFill="1" applyBorder="1"/>
    <xf numFmtId="164" fontId="0" fillId="6" borderId="5" xfId="0" applyNumberFormat="1" applyFill="1" applyBorder="1"/>
    <xf numFmtId="4" fontId="16" fillId="0" borderId="0" xfId="0" applyNumberFormat="1" applyFont="1"/>
    <xf numFmtId="8" fontId="0" fillId="5" borderId="5" xfId="0" applyNumberFormat="1" applyFill="1" applyBorder="1"/>
    <xf numFmtId="0" fontId="9" fillId="0" borderId="15" xfId="0" applyFont="1" applyBorder="1"/>
    <xf numFmtId="0" fontId="9" fillId="0" borderId="6" xfId="0" applyFont="1" applyBorder="1"/>
    <xf numFmtId="8" fontId="0" fillId="5" borderId="6" xfId="0" applyNumberFormat="1" applyFill="1" applyBorder="1"/>
    <xf numFmtId="0" fontId="0" fillId="5" borderId="7" xfId="0" applyFill="1" applyBorder="1"/>
    <xf numFmtId="8" fontId="0" fillId="6" borderId="6" xfId="0" applyNumberFormat="1" applyFill="1" applyBorder="1"/>
    <xf numFmtId="0" fontId="0" fillId="6" borderId="7" xfId="0" applyFill="1" applyBorder="1"/>
    <xf numFmtId="0" fontId="0" fillId="8" borderId="6" xfId="0" applyFill="1" applyBorder="1"/>
    <xf numFmtId="0" fontId="0" fillId="0" borderId="6" xfId="0" applyBorder="1"/>
    <xf numFmtId="40" fontId="0" fillId="5" borderId="0" xfId="0" applyNumberFormat="1" applyFill="1"/>
    <xf numFmtId="0" fontId="12" fillId="0" borderId="0" xfId="0" applyFont="1" applyAlignment="1">
      <alignment horizontal="left"/>
    </xf>
    <xf numFmtId="0" fontId="15" fillId="0" borderId="1" xfId="1" applyFont="1" applyFill="1" applyBorder="1"/>
    <xf numFmtId="8" fontId="17" fillId="5" borderId="0" xfId="0" applyNumberFormat="1" applyFont="1" applyFill="1"/>
    <xf numFmtId="8" fontId="17" fillId="6" borderId="13" xfId="0" applyNumberFormat="1" applyFont="1" applyFill="1" applyBorder="1"/>
    <xf numFmtId="164" fontId="18" fillId="7" borderId="6" xfId="0" applyNumberFormat="1" applyFont="1" applyFill="1" applyBorder="1"/>
    <xf numFmtId="164" fontId="18" fillId="7" borderId="7" xfId="0" applyNumberFormat="1" applyFont="1" applyFill="1" applyBorder="1"/>
    <xf numFmtId="164" fontId="12" fillId="5" borderId="0" xfId="2" applyNumberFormat="1" applyFont="1" applyFill="1"/>
    <xf numFmtId="164" fontId="12" fillId="6" borderId="13" xfId="2" applyNumberFormat="1" applyFont="1" applyFill="1" applyBorder="1"/>
    <xf numFmtId="4" fontId="0" fillId="0" borderId="0" xfId="0" applyNumberFormat="1" applyAlignment="1">
      <alignment horizontal="left"/>
    </xf>
    <xf numFmtId="164" fontId="0" fillId="5" borderId="0" xfId="2" applyNumberFormat="1" applyFont="1" applyFill="1"/>
    <xf numFmtId="8" fontId="12" fillId="6" borderId="0" xfId="0" applyNumberFormat="1" applyFont="1" applyFill="1"/>
    <xf numFmtId="0" fontId="0" fillId="8" borderId="1" xfId="0" applyFill="1" applyBorder="1"/>
    <xf numFmtId="164" fontId="0" fillId="5" borderId="0" xfId="0" applyNumberFormat="1" applyFill="1"/>
    <xf numFmtId="164" fontId="0" fillId="6" borderId="13" xfId="0" applyNumberFormat="1" applyFill="1" applyBorder="1"/>
    <xf numFmtId="164" fontId="9" fillId="5" borderId="6" xfId="0" applyNumberFormat="1" applyFont="1" applyFill="1" applyBorder="1"/>
    <xf numFmtId="164" fontId="9" fillId="6" borderId="15" xfId="0" applyNumberFormat="1" applyFont="1" applyFill="1" applyBorder="1"/>
    <xf numFmtId="164" fontId="9" fillId="6" borderId="7" xfId="0" applyNumberFormat="1" applyFont="1" applyFill="1" applyBorder="1"/>
    <xf numFmtId="49" fontId="0" fillId="0" borderId="0" xfId="0" applyNumberFormat="1" applyAlignment="1">
      <alignment vertical="center"/>
    </xf>
    <xf numFmtId="8" fontId="0" fillId="0" borderId="0" xfId="0" applyNumberFormat="1" applyAlignment="1">
      <alignment vertical="center"/>
    </xf>
    <xf numFmtId="0" fontId="19" fillId="0" borderId="0" xfId="0" applyFont="1" applyAlignment="1">
      <alignment horizontal="center"/>
    </xf>
    <xf numFmtId="44" fontId="0" fillId="0" borderId="1" xfId="5" applyNumberFormat="1" applyFont="1" applyBorder="1"/>
    <xf numFmtId="164" fontId="0" fillId="0" borderId="1" xfId="5" applyNumberFormat="1" applyFont="1" applyBorder="1"/>
    <xf numFmtId="0" fontId="0" fillId="0" borderId="1" xfId="0" applyBorder="1" applyAlignment="1">
      <alignment horizontal="left"/>
    </xf>
    <xf numFmtId="0" fontId="0" fillId="0" borderId="0" xfId="0" applyAlignment="1">
      <alignment wrapText="1"/>
    </xf>
    <xf numFmtId="0" fontId="24" fillId="0" borderId="1" xfId="0" applyFont="1" applyBorder="1"/>
    <xf numFmtId="0" fontId="3" fillId="0" borderId="0" xfId="0" applyFont="1"/>
    <xf numFmtId="44" fontId="3" fillId="0" borderId="1" xfId="5" applyNumberFormat="1" applyFont="1" applyBorder="1"/>
    <xf numFmtId="0" fontId="0" fillId="0" borderId="0" xfId="0" applyBorder="1"/>
    <xf numFmtId="49" fontId="0" fillId="0" borderId="0" xfId="0" applyNumberFormat="1" applyBorder="1"/>
    <xf numFmtId="0" fontId="0" fillId="0" borderId="2" xfId="0" applyBorder="1"/>
    <xf numFmtId="164" fontId="0" fillId="0" borderId="3" xfId="0" applyNumberFormat="1" applyBorder="1"/>
    <xf numFmtId="0" fontId="0" fillId="0" borderId="16" xfId="0" applyBorder="1"/>
    <xf numFmtId="0" fontId="0" fillId="0" borderId="17" xfId="0" applyBorder="1"/>
    <xf numFmtId="0" fontId="0" fillId="0" borderId="18" xfId="0" applyBorder="1"/>
    <xf numFmtId="0" fontId="0" fillId="0" borderId="0" xfId="0" applyFill="1"/>
    <xf numFmtId="164" fontId="0" fillId="0" borderId="1" xfId="0" applyNumberFormat="1" applyBorder="1" applyAlignment="1">
      <alignment horizontal="left"/>
    </xf>
    <xf numFmtId="49" fontId="24" fillId="0" borderId="1" xfId="0" applyNumberFormat="1" applyFont="1" applyBorder="1" applyAlignment="1">
      <alignment wrapText="1"/>
    </xf>
    <xf numFmtId="0" fontId="25" fillId="0" borderId="0" xfId="0" applyFont="1"/>
    <xf numFmtId="0" fontId="9" fillId="0" borderId="17" xfId="0" applyFont="1" applyBorder="1"/>
    <xf numFmtId="164" fontId="9" fillId="0" borderId="17" xfId="0" applyNumberFormat="1" applyFont="1" applyBorder="1"/>
    <xf numFmtId="44" fontId="9" fillId="0" borderId="17" xfId="5" applyNumberFormat="1" applyFont="1" applyBorder="1"/>
    <xf numFmtId="164" fontId="9" fillId="0" borderId="17" xfId="5" applyNumberFormat="1" applyFont="1" applyBorder="1"/>
    <xf numFmtId="44" fontId="9" fillId="0" borderId="17" xfId="0" applyNumberFormat="1" applyFont="1" applyBorder="1"/>
    <xf numFmtId="0" fontId="0" fillId="0" borderId="19" xfId="0" applyBorder="1"/>
    <xf numFmtId="0" fontId="9" fillId="0" borderId="19" xfId="0" applyFont="1" applyBorder="1"/>
    <xf numFmtId="164" fontId="9" fillId="0" borderId="19" xfId="0" applyNumberFormat="1" applyFont="1" applyBorder="1"/>
    <xf numFmtId="44" fontId="9" fillId="0" borderId="19" xfId="5" applyNumberFormat="1" applyFont="1" applyBorder="1"/>
    <xf numFmtId="164" fontId="9" fillId="0" borderId="19" xfId="5" applyNumberFormat="1" applyFont="1" applyBorder="1"/>
    <xf numFmtId="44" fontId="9" fillId="0" borderId="19" xfId="0" applyNumberFormat="1" applyFont="1" applyBorder="1"/>
    <xf numFmtId="0" fontId="3" fillId="0" borderId="2" xfId="0" applyFont="1" applyBorder="1"/>
    <xf numFmtId="0" fontId="3" fillId="0" borderId="1" xfId="0" applyFont="1" applyBorder="1" applyAlignment="1">
      <alignment horizontal="left"/>
    </xf>
    <xf numFmtId="0" fontId="26" fillId="0" borderId="1" xfId="0" applyFont="1" applyBorder="1"/>
    <xf numFmtId="0" fontId="27" fillId="0" borderId="0" xfId="0" applyFont="1" applyAlignment="1">
      <alignment horizontal="center"/>
    </xf>
    <xf numFmtId="0" fontId="28" fillId="0" borderId="0" xfId="0" applyFont="1"/>
    <xf numFmtId="0" fontId="24" fillId="0" borderId="0" xfId="0" applyFont="1"/>
    <xf numFmtId="0" fontId="24" fillId="0" borderId="0" xfId="0" applyFont="1" applyAlignment="1">
      <alignment wrapText="1"/>
    </xf>
    <xf numFmtId="0" fontId="0" fillId="10" borderId="0" xfId="0" applyFill="1"/>
    <xf numFmtId="166" fontId="0" fillId="0" borderId="0" xfId="0" applyNumberFormat="1"/>
    <xf numFmtId="2" fontId="0" fillId="0" borderId="0" xfId="0" applyNumberFormat="1"/>
    <xf numFmtId="2" fontId="0" fillId="10" borderId="0" xfId="0" applyNumberFormat="1" applyFill="1"/>
    <xf numFmtId="4" fontId="0" fillId="0" borderId="0" xfId="0" applyNumberFormat="1"/>
    <xf numFmtId="167" fontId="0" fillId="0" borderId="0" xfId="0" applyNumberFormat="1"/>
    <xf numFmtId="165" fontId="3" fillId="0" borderId="0" xfId="0" applyNumberFormat="1" applyFont="1"/>
    <xf numFmtId="0" fontId="24" fillId="9" borderId="22" xfId="0" applyFont="1" applyFill="1" applyBorder="1" applyAlignment="1">
      <alignment horizontal="left"/>
    </xf>
    <xf numFmtId="0" fontId="0" fillId="0" borderId="22" xfId="0" applyBorder="1" applyAlignment="1">
      <alignment horizontal="left"/>
    </xf>
    <xf numFmtId="0" fontId="0" fillId="0" borderId="22" xfId="0" applyBorder="1"/>
    <xf numFmtId="0" fontId="24" fillId="0" borderId="23" xfId="0" applyFont="1" applyBorder="1" applyAlignment="1">
      <alignment horizontal="left"/>
    </xf>
    <xf numFmtId="0" fontId="24" fillId="0" borderId="20" xfId="0" applyFont="1" applyBorder="1"/>
    <xf numFmtId="0" fontId="3" fillId="0" borderId="22" xfId="0" applyFont="1" applyBorder="1" applyAlignment="1">
      <alignment horizontal="left"/>
    </xf>
    <xf numFmtId="0" fontId="24" fillId="10" borderId="21" xfId="0" applyFont="1" applyFill="1" applyBorder="1" applyAlignment="1">
      <alignment horizontal="left"/>
    </xf>
    <xf numFmtId="0" fontId="0" fillId="0" borderId="23" xfId="0" applyBorder="1" applyAlignment="1">
      <alignment horizontal="left"/>
    </xf>
    <xf numFmtId="0" fontId="24" fillId="9" borderId="21" xfId="0" applyFont="1" applyFill="1" applyBorder="1" applyAlignment="1">
      <alignment horizontal="left"/>
    </xf>
    <xf numFmtId="0" fontId="0" fillId="0" borderId="23" xfId="0" applyBorder="1"/>
    <xf numFmtId="167" fontId="30" fillId="0" borderId="0" xfId="0" applyNumberFormat="1" applyFont="1"/>
    <xf numFmtId="0" fontId="24" fillId="9" borderId="25" xfId="0" applyFont="1" applyFill="1" applyBorder="1"/>
    <xf numFmtId="0" fontId="0" fillId="0" borderId="26" xfId="0" applyBorder="1" applyAlignment="1">
      <alignment horizontal="left"/>
    </xf>
    <xf numFmtId="0" fontId="0" fillId="0" borderId="26" xfId="0" applyBorder="1"/>
    <xf numFmtId="0" fontId="24" fillId="10" borderId="25" xfId="0" applyFont="1" applyFill="1" applyBorder="1"/>
    <xf numFmtId="0" fontId="0" fillId="0" borderId="27" xfId="0" applyBorder="1"/>
    <xf numFmtId="0" fontId="0" fillId="0" borderId="27" xfId="0" applyBorder="1" applyAlignment="1">
      <alignment horizontal="left"/>
    </xf>
    <xf numFmtId="0" fontId="24" fillId="0" borderId="27" xfId="0" applyFont="1" applyBorder="1"/>
    <xf numFmtId="0" fontId="0" fillId="9" borderId="29" xfId="0" applyFill="1" applyBorder="1"/>
    <xf numFmtId="0" fontId="0" fillId="0" borderId="18" xfId="0" applyFill="1" applyBorder="1" applyAlignment="1">
      <alignment horizontal="right"/>
    </xf>
    <xf numFmtId="0" fontId="0" fillId="10" borderId="29" xfId="0" applyFill="1" applyBorder="1" applyAlignment="1">
      <alignment horizontal="right"/>
    </xf>
    <xf numFmtId="0" fontId="0" fillId="10" borderId="29" xfId="0" applyFill="1" applyBorder="1"/>
    <xf numFmtId="0" fontId="0" fillId="0" borderId="30" xfId="0" applyFill="1" applyBorder="1" applyAlignment="1">
      <alignment horizontal="right"/>
    </xf>
    <xf numFmtId="0" fontId="0" fillId="9" borderId="29" xfId="0" applyFill="1" applyBorder="1" applyAlignment="1">
      <alignment horizontal="right"/>
    </xf>
    <xf numFmtId="0" fontId="0" fillId="0" borderId="30" xfId="0" applyBorder="1" applyAlignment="1">
      <alignment horizontal="right"/>
    </xf>
    <xf numFmtId="0" fontId="0" fillId="0" borderId="30" xfId="0" applyBorder="1" applyAlignment="1">
      <alignment horizontal="left"/>
    </xf>
    <xf numFmtId="0" fontId="24" fillId="0" borderId="28" xfId="0" applyFont="1" applyBorder="1" applyAlignment="1">
      <alignment wrapText="1"/>
    </xf>
    <xf numFmtId="167" fontId="24" fillId="0" borderId="28" xfId="0" applyNumberFormat="1" applyFont="1" applyBorder="1" applyAlignment="1">
      <alignment wrapText="1"/>
    </xf>
    <xf numFmtId="49" fontId="3" fillId="10" borderId="29" xfId="0" applyNumberFormat="1" applyFont="1" applyFill="1" applyBorder="1"/>
    <xf numFmtId="167" fontId="0" fillId="10" borderId="29" xfId="0" applyNumberFormat="1" applyFill="1" applyBorder="1"/>
    <xf numFmtId="0" fontId="0" fillId="10" borderId="32" xfId="0" applyFill="1" applyBorder="1"/>
    <xf numFmtId="2" fontId="0" fillId="0" borderId="18" xfId="0" applyNumberFormat="1" applyFill="1" applyBorder="1" applyAlignment="1">
      <alignment horizontal="left"/>
    </xf>
    <xf numFmtId="167" fontId="0" fillId="0" borderId="18" xfId="0" applyNumberFormat="1" applyBorder="1"/>
    <xf numFmtId="2" fontId="0" fillId="0" borderId="18" xfId="0" applyNumberFormat="1" applyFill="1" applyBorder="1"/>
    <xf numFmtId="0" fontId="0" fillId="0" borderId="33" xfId="0" applyBorder="1"/>
    <xf numFmtId="2" fontId="0" fillId="10" borderId="29" xfId="0" applyNumberFormat="1" applyFill="1" applyBorder="1"/>
    <xf numFmtId="2" fontId="0" fillId="0" borderId="30" xfId="0" applyNumberFormat="1" applyFill="1" applyBorder="1" applyAlignment="1">
      <alignment horizontal="left"/>
    </xf>
    <xf numFmtId="167" fontId="0" fillId="0" borderId="30" xfId="0" applyNumberFormat="1" applyBorder="1"/>
    <xf numFmtId="0" fontId="0" fillId="0" borderId="30" xfId="0" applyBorder="1"/>
    <xf numFmtId="2" fontId="0" fillId="0" borderId="30" xfId="0" applyNumberFormat="1" applyFill="1" applyBorder="1"/>
    <xf numFmtId="0" fontId="0" fillId="0" borderId="34" xfId="0" applyBorder="1"/>
    <xf numFmtId="49" fontId="0" fillId="0" borderId="30" xfId="0" applyNumberFormat="1" applyBorder="1" applyAlignment="1">
      <alignment horizontal="left"/>
    </xf>
    <xf numFmtId="0" fontId="28" fillId="0" borderId="0" xfId="0" applyFont="1" applyAlignment="1">
      <alignment horizontal="center"/>
    </xf>
    <xf numFmtId="0" fontId="3" fillId="0" borderId="28" xfId="0" applyFont="1" applyBorder="1" applyAlignment="1">
      <alignment vertical="top" wrapText="1" readingOrder="1"/>
    </xf>
    <xf numFmtId="0" fontId="24" fillId="0" borderId="24" xfId="0" applyFont="1" applyBorder="1" applyAlignment="1">
      <alignment wrapText="1"/>
    </xf>
    <xf numFmtId="0" fontId="24" fillId="0" borderId="35" xfId="0" applyFont="1" applyBorder="1" applyAlignment="1">
      <alignment wrapText="1"/>
    </xf>
    <xf numFmtId="0" fontId="0" fillId="10" borderId="36" xfId="0" applyFill="1" applyBorder="1"/>
    <xf numFmtId="1" fontId="0" fillId="0" borderId="14" xfId="0" applyNumberFormat="1" applyBorder="1" applyAlignment="1">
      <alignment horizontal="left"/>
    </xf>
    <xf numFmtId="0" fontId="0" fillId="0" borderId="14" xfId="0" applyBorder="1"/>
    <xf numFmtId="1" fontId="0" fillId="10" borderId="36" xfId="0" applyNumberFormat="1" applyFill="1" applyBorder="1"/>
    <xf numFmtId="1" fontId="0" fillId="0" borderId="37" xfId="0" applyNumberFormat="1" applyBorder="1" applyAlignment="1">
      <alignment horizontal="left"/>
    </xf>
    <xf numFmtId="0" fontId="0" fillId="0" borderId="37" xfId="0" applyBorder="1"/>
    <xf numFmtId="0" fontId="0" fillId="0" borderId="37" xfId="0" applyBorder="1" applyAlignment="1">
      <alignment horizontal="left"/>
    </xf>
    <xf numFmtId="0" fontId="24" fillId="0" borderId="31" xfId="0" applyFont="1" applyBorder="1" applyAlignment="1">
      <alignment wrapText="1" readingOrder="1"/>
    </xf>
    <xf numFmtId="0" fontId="29" fillId="0" borderId="0" xfId="0" applyFont="1" applyAlignment="1">
      <alignment horizontal="center"/>
    </xf>
    <xf numFmtId="0" fontId="24" fillId="0" borderId="20" xfId="0" applyFont="1" applyBorder="1" applyAlignment="1">
      <alignment wrapText="1"/>
    </xf>
    <xf numFmtId="0" fontId="0" fillId="9" borderId="21" xfId="0" applyFill="1" applyBorder="1"/>
    <xf numFmtId="14" fontId="0" fillId="0" borderId="22" xfId="0" applyNumberFormat="1" applyFill="1" applyBorder="1" applyAlignment="1">
      <alignment horizontal="left"/>
    </xf>
    <xf numFmtId="0" fontId="0" fillId="0" borderId="22" xfId="0" applyFill="1" applyBorder="1" applyAlignment="1">
      <alignment horizontal="left"/>
    </xf>
    <xf numFmtId="0" fontId="0" fillId="0" borderId="22" xfId="0" applyFill="1" applyBorder="1"/>
    <xf numFmtId="0" fontId="0" fillId="10" borderId="21" xfId="0" applyFill="1" applyBorder="1"/>
    <xf numFmtId="0" fontId="0" fillId="0" borderId="23" xfId="0" applyFill="1" applyBorder="1" applyAlignment="1">
      <alignment horizontal="left"/>
    </xf>
    <xf numFmtId="0" fontId="0" fillId="0" borderId="23" xfId="0" applyFill="1" applyBorder="1"/>
    <xf numFmtId="8" fontId="26" fillId="5" borderId="0" xfId="0" applyNumberFormat="1" applyFont="1" applyFill="1"/>
    <xf numFmtId="8" fontId="26" fillId="6" borderId="5" xfId="0" applyNumberFormat="1" applyFont="1" applyFill="1" applyBorder="1"/>
    <xf numFmtId="8" fontId="26" fillId="6" borderId="13" xfId="0" applyNumberFormat="1" applyFont="1" applyFill="1" applyBorder="1"/>
    <xf numFmtId="0" fontId="26" fillId="0" borderId="0" xfId="0" applyFont="1" applyBorder="1"/>
    <xf numFmtId="0" fontId="26" fillId="0" borderId="0" xfId="0" applyFont="1"/>
    <xf numFmtId="0" fontId="2" fillId="0" borderId="0" xfId="0" applyFont="1"/>
    <xf numFmtId="49" fontId="24" fillId="7" borderId="9" xfId="0" applyNumberFormat="1" applyFont="1" applyFill="1" applyBorder="1"/>
    <xf numFmtId="49" fontId="24" fillId="7" borderId="15" xfId="0" applyNumberFormat="1" applyFont="1" applyFill="1" applyBorder="1"/>
    <xf numFmtId="0" fontId="24" fillId="7" borderId="10" xfId="0" applyFont="1" applyFill="1" applyBorder="1"/>
    <xf numFmtId="0" fontId="24" fillId="7" borderId="6" xfId="0" applyFont="1" applyFill="1" applyBorder="1"/>
    <xf numFmtId="49" fontId="0" fillId="8" borderId="8" xfId="0" applyNumberFormat="1" applyFill="1" applyBorder="1"/>
    <xf numFmtId="49" fontId="0" fillId="0" borderId="0" xfId="0" applyNumberFormat="1" applyFill="1" applyBorder="1"/>
    <xf numFmtId="0" fontId="24" fillId="0" borderId="0" xfId="0" applyFont="1" applyFill="1" applyBorder="1"/>
    <xf numFmtId="164" fontId="0" fillId="0" borderId="0" xfId="0" applyNumberFormat="1" applyFill="1" applyBorder="1"/>
    <xf numFmtId="0" fontId="24" fillId="0" borderId="6" xfId="0" applyFont="1" applyBorder="1"/>
    <xf numFmtId="164" fontId="0" fillId="5" borderId="6" xfId="0" applyNumberFormat="1" applyFill="1" applyBorder="1"/>
    <xf numFmtId="164" fontId="0" fillId="6" borderId="15" xfId="0" applyNumberFormat="1" applyFill="1" applyBorder="1"/>
    <xf numFmtId="164" fontId="0" fillId="6" borderId="7" xfId="0" applyNumberFormat="1" applyFill="1" applyBorder="1"/>
    <xf numFmtId="0" fontId="24" fillId="0" borderId="10" xfId="0" applyFont="1" applyBorder="1"/>
    <xf numFmtId="164" fontId="0" fillId="5" borderId="10" xfId="0" applyNumberFormat="1" applyFill="1" applyBorder="1"/>
    <xf numFmtId="164" fontId="0" fillId="6" borderId="9" xfId="0" applyNumberFormat="1" applyFill="1" applyBorder="1"/>
    <xf numFmtId="164" fontId="0" fillId="6" borderId="11" xfId="0" applyNumberFormat="1" applyFill="1" applyBorder="1"/>
    <xf numFmtId="0" fontId="34" fillId="0" borderId="0" xfId="0" applyFont="1"/>
    <xf numFmtId="8" fontId="33" fillId="5" borderId="0" xfId="0" applyNumberFormat="1" applyFont="1" applyFill="1"/>
    <xf numFmtId="8" fontId="33" fillId="6" borderId="13" xfId="0" applyNumberFormat="1" applyFont="1" applyFill="1" applyBorder="1"/>
    <xf numFmtId="8" fontId="33" fillId="6" borderId="5" xfId="0" applyNumberFormat="1" applyFont="1" applyFill="1" applyBorder="1"/>
    <xf numFmtId="0" fontId="12" fillId="11" borderId="0" xfId="0" applyFont="1" applyFill="1"/>
    <xf numFmtId="0" fontId="2" fillId="11" borderId="17" xfId="0" applyFont="1" applyFill="1" applyBorder="1"/>
    <xf numFmtId="8" fontId="0" fillId="0" borderId="0" xfId="0" applyNumberFormat="1" applyFill="1"/>
    <xf numFmtId="164" fontId="9" fillId="0" borderId="0" xfId="0" applyNumberFormat="1" applyFont="1" applyFill="1"/>
    <xf numFmtId="49" fontId="2" fillId="0" borderId="12" xfId="0" applyNumberFormat="1" applyFont="1" applyBorder="1"/>
    <xf numFmtId="4" fontId="2" fillId="0" borderId="0" xfId="0" applyNumberFormat="1" applyFont="1" applyAlignment="1">
      <alignment horizontal="left"/>
    </xf>
    <xf numFmtId="0" fontId="26" fillId="11" borderId="0" xfId="0" applyFont="1" applyFill="1"/>
    <xf numFmtId="0" fontId="0" fillId="11" borderId="1" xfId="0" applyFill="1" applyBorder="1"/>
    <xf numFmtId="0" fontId="12" fillId="0" borderId="0" xfId="0" applyFont="1" applyFill="1"/>
    <xf numFmtId="0" fontId="26" fillId="11" borderId="4" xfId="0" applyFont="1" applyFill="1" applyBorder="1"/>
    <xf numFmtId="0" fontId="26" fillId="11" borderId="0" xfId="0" applyFont="1" applyFill="1" applyBorder="1"/>
    <xf numFmtId="0" fontId="2" fillId="0" borderId="0" xfId="0" applyFont="1" applyFill="1"/>
    <xf numFmtId="0" fontId="0" fillId="0" borderId="0" xfId="3" applyFont="1" applyFill="1" applyBorder="1"/>
    <xf numFmtId="0" fontId="2" fillId="11" borderId="1" xfId="0" applyFont="1" applyFill="1" applyBorder="1"/>
    <xf numFmtId="0" fontId="12" fillId="11" borderId="0" xfId="0" applyFont="1" applyFill="1" applyBorder="1"/>
    <xf numFmtId="49" fontId="26" fillId="0" borderId="13" xfId="0" applyNumberFormat="1" applyFont="1" applyBorder="1"/>
    <xf numFmtId="0" fontId="26" fillId="0" borderId="0" xfId="0" applyFont="1" applyFill="1" applyBorder="1"/>
    <xf numFmtId="0" fontId="2" fillId="11" borderId="1" xfId="0" applyFont="1" applyFill="1" applyBorder="1" applyAlignment="1">
      <alignment horizontal="left"/>
    </xf>
    <xf numFmtId="0" fontId="0" fillId="11" borderId="0" xfId="0" applyFill="1" applyBorder="1"/>
    <xf numFmtId="0" fontId="26" fillId="6" borderId="5" xfId="0" applyFont="1" applyFill="1" applyBorder="1"/>
    <xf numFmtId="8" fontId="2" fillId="0" borderId="0" xfId="0" applyNumberFormat="1" applyFont="1"/>
    <xf numFmtId="0" fontId="26" fillId="5" borderId="0" xfId="0" applyFont="1" applyFill="1"/>
    <xf numFmtId="49" fontId="0" fillId="0" borderId="0" xfId="0" applyNumberFormat="1" applyFill="1"/>
    <xf numFmtId="164" fontId="0" fillId="0" borderId="0" xfId="0" applyNumberFormat="1" applyFill="1"/>
    <xf numFmtId="0" fontId="24" fillId="0" borderId="0" xfId="0" applyFont="1" applyFill="1"/>
    <xf numFmtId="8" fontId="32" fillId="0" borderId="0" xfId="0" applyNumberFormat="1" applyFont="1"/>
    <xf numFmtId="0" fontId="8" fillId="0" borderId="0" xfId="0" applyFont="1" applyAlignment="1">
      <alignment horizontal="center" vertical="center"/>
    </xf>
    <xf numFmtId="0" fontId="10" fillId="0" borderId="4" xfId="0" applyFont="1" applyBorder="1" applyAlignment="1">
      <alignment horizontal="center"/>
    </xf>
    <xf numFmtId="0" fontId="9" fillId="8" borderId="8" xfId="0" applyFont="1" applyFill="1" applyBorder="1" applyAlignment="1">
      <alignment horizontal="center"/>
    </xf>
    <xf numFmtId="0" fontId="3" fillId="0" borderId="0" xfId="0" applyFont="1" applyAlignment="1">
      <alignment horizontal="left" vertical="top" wrapText="1"/>
    </xf>
    <xf numFmtId="0" fontId="27" fillId="0" borderId="0" xfId="0" applyFont="1" applyAlignment="1">
      <alignment horizontal="center"/>
    </xf>
    <xf numFmtId="0" fontId="26" fillId="0" borderId="0" xfId="0" applyFont="1" applyAlignment="1">
      <alignment horizontal="left"/>
    </xf>
    <xf numFmtId="0" fontId="20" fillId="0" borderId="0" xfId="0" applyFont="1" applyAlignment="1">
      <alignment horizontal="left" vertical="top" wrapText="1"/>
    </xf>
    <xf numFmtId="0" fontId="29" fillId="0" borderId="0" xfId="0" applyFont="1" applyAlignment="1">
      <alignment horizontal="center"/>
    </xf>
    <xf numFmtId="0" fontId="28" fillId="0" borderId="0" xfId="0" applyFont="1" applyAlignment="1">
      <alignment horizontal="center"/>
    </xf>
    <xf numFmtId="0" fontId="9" fillId="0" borderId="0" xfId="0" applyFont="1" applyBorder="1"/>
    <xf numFmtId="0" fontId="13" fillId="0" borderId="0" xfId="0" applyFont="1" applyBorder="1"/>
    <xf numFmtId="4" fontId="13" fillId="0" borderId="0" xfId="0" applyNumberFormat="1" applyFont="1" applyBorder="1" applyAlignment="1">
      <alignment horizontal="left"/>
    </xf>
    <xf numFmtId="0" fontId="0" fillId="8" borderId="0" xfId="0" applyFill="1" applyBorder="1"/>
    <xf numFmtId="4" fontId="0" fillId="0" borderId="0" xfId="0" applyNumberFormat="1" applyBorder="1"/>
    <xf numFmtId="49" fontId="12" fillId="0" borderId="13" xfId="0" applyNumberFormat="1" applyFont="1" applyBorder="1"/>
    <xf numFmtId="49" fontId="0" fillId="8" borderId="12" xfId="0" applyNumberFormat="1" applyFill="1" applyBorder="1"/>
    <xf numFmtId="49" fontId="0" fillId="0" borderId="15" xfId="0" applyNumberFormat="1" applyBorder="1"/>
    <xf numFmtId="49" fontId="0" fillId="0" borderId="9" xfId="0" applyNumberFormat="1" applyBorder="1"/>
    <xf numFmtId="49" fontId="33" fillId="0" borderId="13" xfId="0" applyNumberFormat="1" applyFont="1" applyBorder="1"/>
    <xf numFmtId="0" fontId="24" fillId="0" borderId="9" xfId="0" applyFont="1" applyBorder="1"/>
  </cellXfs>
  <cellStyles count="6">
    <cellStyle name="Gut" xfId="1" builtinId="26"/>
    <cellStyle name="Neutral" xfId="2" builtinId="28"/>
    <cellStyle name="Schlecht" xfId="3" builtinId="27"/>
    <cellStyle name="Standard" xfId="0" builtinId="0"/>
    <cellStyle name="Standard 2" xfId="4" xr:uid="{00000000-0005-0000-0000-000004000000}"/>
    <cellStyle name="Währung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165101</xdr:colOff>
      <xdr:row>0</xdr:row>
      <xdr:rowOff>38100</xdr:rowOff>
    </xdr:from>
    <xdr:to>
      <xdr:col>7</xdr:col>
      <xdr:colOff>2286001</xdr:colOff>
      <xdr:row>0</xdr:row>
      <xdr:rowOff>651942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bwMode="auto">
        <a:xfrm>
          <a:off x="11798301" y="38100"/>
          <a:ext cx="2120900" cy="61384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Arial"/>
        <a:cs typeface="Arial"/>
      </a:majorFont>
      <a:minorFont>
        <a:latin typeface="Calibri"/>
        <a:ea typeface="Arial"/>
        <a:cs typeface="Arial"/>
      </a:minorFont>
    </a:fontScheme>
    <a:fmtScheme name="Larissa">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7"/>
  <sheetViews>
    <sheetView tabSelected="1" topLeftCell="A63" zoomScale="80" workbookViewId="0">
      <selection activeCell="D63" sqref="D63"/>
    </sheetView>
  </sheetViews>
  <sheetFormatPr baseColWidth="10" defaultRowHeight="15" x14ac:dyDescent="0.25"/>
  <cols>
    <col min="1" max="1" width="12.5703125" customWidth="1"/>
    <col min="2" max="2" width="68.7109375" bestFit="1" customWidth="1"/>
    <col min="3" max="3" width="22.140625" style="1" customWidth="1"/>
    <col min="4" max="4" width="18.7109375" style="1" customWidth="1"/>
    <col min="5" max="5" width="15.28515625" style="2" customWidth="1"/>
    <col min="6" max="6" width="17.28515625" customWidth="1"/>
    <col min="7" max="7" width="19.7109375" style="2" customWidth="1"/>
    <col min="8" max="8" width="39" customWidth="1"/>
    <col min="9" max="9" width="16.85546875" customWidth="1"/>
    <col min="10" max="10" width="13.140625" bestFit="1" customWidth="1"/>
    <col min="11" max="11" width="12.140625" customWidth="1"/>
    <col min="12" max="12" width="12.28515625" customWidth="1"/>
    <col min="13" max="13" width="39.28515625" bestFit="1" customWidth="1"/>
    <col min="14" max="14" width="11.42578125" customWidth="1"/>
    <col min="15" max="16" width="3.140625" customWidth="1"/>
  </cols>
  <sheetData>
    <row r="1" spans="1:16" ht="71.25" customHeight="1" x14ac:dyDescent="0.25">
      <c r="A1" s="259" t="s">
        <v>288</v>
      </c>
      <c r="B1" s="259"/>
      <c r="C1" s="259"/>
      <c r="D1" s="259"/>
      <c r="E1" s="259"/>
      <c r="F1" s="259"/>
      <c r="G1" s="259"/>
    </row>
    <row r="2" spans="1:16" x14ac:dyDescent="0.25">
      <c r="A2" s="3" t="s">
        <v>0</v>
      </c>
      <c r="B2" s="3" t="s">
        <v>1</v>
      </c>
      <c r="C2" s="4" t="s">
        <v>2</v>
      </c>
      <c r="D2" s="5"/>
      <c r="E2" s="4" t="s">
        <v>3</v>
      </c>
      <c r="F2" s="5"/>
      <c r="G2" s="6" t="s">
        <v>289</v>
      </c>
      <c r="H2" s="7" t="s">
        <v>4</v>
      </c>
    </row>
    <row r="3" spans="1:16" ht="15.75" x14ac:dyDescent="0.25">
      <c r="A3" s="260" t="s">
        <v>5</v>
      </c>
      <c r="B3" s="260"/>
      <c r="C3" s="8"/>
      <c r="D3" s="9"/>
      <c r="E3" s="10"/>
      <c r="F3" s="11"/>
      <c r="G3" s="253"/>
      <c r="H3" t="s">
        <v>292</v>
      </c>
      <c r="J3" s="12"/>
      <c r="K3" s="12"/>
    </row>
    <row r="4" spans="1:16" x14ac:dyDescent="0.25">
      <c r="A4" s="13"/>
      <c r="B4" s="14"/>
      <c r="C4" s="8"/>
      <c r="D4" s="9"/>
      <c r="E4" s="10"/>
      <c r="F4" s="11"/>
      <c r="G4" s="253"/>
      <c r="H4" t="s">
        <v>6</v>
      </c>
      <c r="J4" s="12"/>
      <c r="K4" s="12"/>
    </row>
    <row r="5" spans="1:16" ht="15.75" thickBot="1" x14ac:dyDescent="0.3">
      <c r="A5" s="15">
        <v>0</v>
      </c>
      <c r="B5" s="16" t="s">
        <v>7</v>
      </c>
      <c r="C5" s="17">
        <v>0</v>
      </c>
      <c r="D5" s="18"/>
      <c r="E5" s="17">
        <v>0</v>
      </c>
      <c r="F5" s="18"/>
      <c r="G5" s="2">
        <f>F5-D5</f>
        <v>0</v>
      </c>
      <c r="H5" t="s">
        <v>8</v>
      </c>
      <c r="J5" s="12"/>
      <c r="K5" s="12"/>
    </row>
    <row r="6" spans="1:16" s="19" customFormat="1" ht="15.75" thickBot="1" x14ac:dyDescent="0.3">
      <c r="A6" s="20"/>
      <c r="B6" s="21"/>
      <c r="C6" s="22"/>
      <c r="D6" s="23"/>
      <c r="E6" s="24"/>
      <c r="F6" s="25"/>
      <c r="G6" s="26"/>
    </row>
    <row r="7" spans="1:16" x14ac:dyDescent="0.25">
      <c r="A7" s="27" t="s">
        <v>9</v>
      </c>
      <c r="B7" s="28" t="s">
        <v>10</v>
      </c>
      <c r="C7" s="29"/>
      <c r="D7" s="30"/>
      <c r="E7" s="31"/>
      <c r="F7" s="32"/>
      <c r="H7" s="63"/>
    </row>
    <row r="8" spans="1:16" x14ac:dyDescent="0.25">
      <c r="A8" s="33" t="s">
        <v>11</v>
      </c>
      <c r="B8" s="34" t="s">
        <v>12</v>
      </c>
      <c r="C8" s="8"/>
      <c r="D8" s="8">
        <f>24900*2*10</f>
        <v>498000</v>
      </c>
      <c r="E8" s="35"/>
      <c r="F8" s="36">
        <f>25000*2*10</f>
        <v>500000</v>
      </c>
      <c r="G8" s="2">
        <f t="shared" ref="G8:G31" si="0">IF(AND(E8="",F8=""),"",IF(E8="",SUM(E8:F8)-SUM(C8:D8),TEXT(SUM(E8:F8)-SUM(C8:D8),"#.###,00 €* ; -#.###,00 €* ; 0,00 €* ;* @")))</f>
        <v>2000</v>
      </c>
      <c r="L8" s="108"/>
      <c r="M8" s="108"/>
      <c r="N8" s="108"/>
      <c r="O8" s="108"/>
      <c r="P8" s="108"/>
    </row>
    <row r="9" spans="1:16" x14ac:dyDescent="0.25">
      <c r="A9" s="37"/>
      <c r="B9" s="38" t="s">
        <v>13</v>
      </c>
      <c r="C9" s="39">
        <f>24900*2*5.5</f>
        <v>273900</v>
      </c>
      <c r="D9" s="40"/>
      <c r="E9" s="41">
        <f>25000*2*5.5</f>
        <v>275000</v>
      </c>
      <c r="F9" s="11"/>
      <c r="G9" s="2" t="str">
        <f t="shared" si="0"/>
        <v>1.100,00 €</v>
      </c>
      <c r="L9" s="108"/>
      <c r="M9" s="268"/>
      <c r="N9" s="108"/>
      <c r="O9" s="108"/>
      <c r="P9" s="108"/>
    </row>
    <row r="10" spans="1:16" x14ac:dyDescent="0.25">
      <c r="A10" s="37"/>
      <c r="B10" s="42" t="s">
        <v>14</v>
      </c>
      <c r="C10" s="39">
        <f>24900*4.5*2</f>
        <v>224100</v>
      </c>
      <c r="D10" s="40"/>
      <c r="E10" s="41">
        <f>25000*4.5*2</f>
        <v>225000</v>
      </c>
      <c r="F10" s="11"/>
      <c r="G10" s="2" t="str">
        <f t="shared" si="0"/>
        <v>900,00 €</v>
      </c>
      <c r="L10" s="108"/>
      <c r="M10" s="269"/>
      <c r="N10" s="270"/>
      <c r="O10" s="108"/>
      <c r="P10" s="108"/>
    </row>
    <row r="11" spans="1:16" x14ac:dyDescent="0.25">
      <c r="A11" s="37"/>
      <c r="B11" s="43" t="s">
        <v>290</v>
      </c>
      <c r="C11" s="8"/>
      <c r="D11" s="40"/>
      <c r="E11" s="35"/>
      <c r="F11" s="11"/>
      <c r="G11" s="2" t="str">
        <f t="shared" si="0"/>
        <v/>
      </c>
      <c r="L11" s="108"/>
      <c r="M11" s="269"/>
      <c r="N11" s="270"/>
      <c r="O11" s="108"/>
      <c r="P11" s="108"/>
    </row>
    <row r="12" spans="1:16" x14ac:dyDescent="0.25">
      <c r="A12" s="33" t="s">
        <v>15</v>
      </c>
      <c r="B12" s="34" t="s">
        <v>16</v>
      </c>
      <c r="C12" s="8"/>
      <c r="D12" s="8">
        <f>3500*2*10</f>
        <v>70000</v>
      </c>
      <c r="E12" s="35"/>
      <c r="F12" s="36">
        <f>3900*2*10</f>
        <v>78000</v>
      </c>
      <c r="G12" s="2">
        <f t="shared" si="0"/>
        <v>8000</v>
      </c>
      <c r="L12" s="108"/>
      <c r="M12" s="269"/>
      <c r="N12" s="270"/>
      <c r="O12" s="108"/>
      <c r="P12" s="108"/>
    </row>
    <row r="13" spans="1:16" x14ac:dyDescent="0.25">
      <c r="A13" s="45"/>
      <c r="B13" s="38" t="s">
        <v>17</v>
      </c>
      <c r="C13" s="46">
        <f>1.8*2*3500</f>
        <v>12600</v>
      </c>
      <c r="D13" s="40"/>
      <c r="E13" s="47">
        <f>1.8*2*3900</f>
        <v>14040</v>
      </c>
      <c r="F13" s="11"/>
      <c r="G13" s="2" t="str">
        <f t="shared" si="0"/>
        <v>1.440,00 €</v>
      </c>
      <c r="L13" s="108"/>
      <c r="M13" s="269"/>
      <c r="N13" s="270"/>
      <c r="O13" s="108"/>
      <c r="P13" s="108"/>
    </row>
    <row r="14" spans="1:16" x14ac:dyDescent="0.25">
      <c r="A14" s="45"/>
      <c r="B14" s="42" t="s">
        <v>18</v>
      </c>
      <c r="C14" s="46">
        <f>8.2*2*3500</f>
        <v>57399.999999999993</v>
      </c>
      <c r="D14" s="40"/>
      <c r="E14" s="47">
        <f>8.2*2*3900</f>
        <v>63959.999999999993</v>
      </c>
      <c r="F14" s="11"/>
      <c r="G14" s="2" t="str">
        <f t="shared" si="0"/>
        <v>6.560,00 €</v>
      </c>
      <c r="H14" s="44"/>
      <c r="L14" s="108"/>
      <c r="M14" s="269"/>
      <c r="N14" s="270"/>
      <c r="O14" s="108"/>
      <c r="P14" s="108"/>
    </row>
    <row r="15" spans="1:16" x14ac:dyDescent="0.25">
      <c r="A15" s="45"/>
      <c r="B15" s="43" t="s">
        <v>291</v>
      </c>
      <c r="C15" s="8"/>
      <c r="D15" s="40"/>
      <c r="E15" s="35"/>
      <c r="F15" s="11"/>
      <c r="G15" s="2" t="str">
        <f t="shared" si="0"/>
        <v/>
      </c>
      <c r="L15" s="108"/>
      <c r="M15" s="269"/>
      <c r="N15" s="270"/>
      <c r="O15" s="108"/>
      <c r="P15" s="108"/>
    </row>
    <row r="16" spans="1:16" s="63" customFormat="1" x14ac:dyDescent="0.25">
      <c r="A16" s="45"/>
      <c r="B16" s="43"/>
      <c r="C16" s="8"/>
      <c r="D16" s="40"/>
      <c r="E16" s="35"/>
      <c r="F16" s="11"/>
      <c r="G16" s="2" t="str">
        <f t="shared" si="0"/>
        <v/>
      </c>
      <c r="L16" s="108"/>
      <c r="M16" s="269"/>
      <c r="N16" s="270"/>
      <c r="O16" s="108"/>
      <c r="P16" s="108"/>
    </row>
    <row r="17" spans="1:16" s="63" customFormat="1" x14ac:dyDescent="0.25">
      <c r="A17" s="237" t="s">
        <v>343</v>
      </c>
      <c r="B17" s="250" t="s">
        <v>344</v>
      </c>
      <c r="C17" s="8"/>
      <c r="D17" s="8">
        <f>SUM(C18:C20)</f>
        <v>1256170</v>
      </c>
      <c r="E17" s="35"/>
      <c r="F17" s="36">
        <f>SUM(E18:E20)</f>
        <v>291890</v>
      </c>
      <c r="G17" s="2">
        <f t="shared" si="0"/>
        <v>-964280</v>
      </c>
      <c r="H17" s="212" t="s">
        <v>363</v>
      </c>
      <c r="L17" s="108"/>
      <c r="M17" s="269"/>
      <c r="N17" s="270"/>
      <c r="O17" s="108"/>
      <c r="P17" s="108"/>
    </row>
    <row r="18" spans="1:16" s="63" customFormat="1" x14ac:dyDescent="0.25">
      <c r="A18" s="248" t="s">
        <v>335</v>
      </c>
      <c r="B18" s="251" t="s">
        <v>53</v>
      </c>
      <c r="C18" s="207">
        <v>970750</v>
      </c>
      <c r="D18" s="8"/>
      <c r="E18" s="209">
        <v>0</v>
      </c>
      <c r="F18" s="36"/>
      <c r="G18" s="258" t="str">
        <f t="shared" si="0"/>
        <v xml:space="preserve"> -970.750,00 €</v>
      </c>
      <c r="L18" s="108"/>
      <c r="M18" s="269"/>
      <c r="N18" s="270"/>
      <c r="O18" s="108"/>
      <c r="P18" s="108"/>
    </row>
    <row r="19" spans="1:16" x14ac:dyDescent="0.25">
      <c r="A19" s="248" t="s">
        <v>336</v>
      </c>
      <c r="B19" s="251" t="s">
        <v>55</v>
      </c>
      <c r="C19" s="207">
        <f>2.5*28400+2.55*28400</f>
        <v>143420</v>
      </c>
      <c r="D19" s="8"/>
      <c r="E19" s="209">
        <f>2.55*28900*2</f>
        <v>147390</v>
      </c>
      <c r="F19" s="36"/>
      <c r="G19" s="2" t="str">
        <f t="shared" si="0"/>
        <v>3.970,00 €</v>
      </c>
      <c r="H19" s="63"/>
      <c r="L19" s="108"/>
      <c r="M19" s="269"/>
      <c r="N19" s="270"/>
      <c r="O19" s="108"/>
      <c r="P19" s="108"/>
    </row>
    <row r="20" spans="1:16" s="19" customFormat="1" x14ac:dyDescent="0.25">
      <c r="A20" s="248" t="s">
        <v>337</v>
      </c>
      <c r="B20" s="251" t="s">
        <v>59</v>
      </c>
      <c r="C20" s="207">
        <f>28400*2*2.5</f>
        <v>142000</v>
      </c>
      <c r="D20" s="8"/>
      <c r="E20" s="209">
        <f>28900*2*2.5</f>
        <v>144500</v>
      </c>
      <c r="F20" s="36"/>
      <c r="G20" s="2" t="str">
        <f t="shared" si="0"/>
        <v>2.500,00 €</v>
      </c>
      <c r="H20" s="2"/>
      <c r="L20" s="271"/>
      <c r="M20" s="271"/>
      <c r="N20" s="270"/>
      <c r="O20" s="271"/>
      <c r="P20" s="271"/>
    </row>
    <row r="21" spans="1:16" s="53" customFormat="1" x14ac:dyDescent="0.25">
      <c r="A21" s="45"/>
      <c r="B21" s="43"/>
      <c r="C21" s="8"/>
      <c r="D21" s="40"/>
      <c r="E21" s="35"/>
      <c r="F21" s="11"/>
      <c r="G21" s="2" t="str">
        <f t="shared" si="0"/>
        <v/>
      </c>
      <c r="H21" s="63"/>
      <c r="L21" s="268"/>
      <c r="M21" s="269"/>
      <c r="N21" s="270"/>
      <c r="O21" s="268"/>
      <c r="P21" s="268"/>
    </row>
    <row r="22" spans="1:16" ht="15.75" thickBot="1" x14ac:dyDescent="0.3">
      <c r="A22" s="48" t="s">
        <v>19</v>
      </c>
      <c r="B22" s="16" t="s">
        <v>10</v>
      </c>
      <c r="C22" s="49"/>
      <c r="D22" s="49">
        <f>SUM(D8:D20)</f>
        <v>1824170</v>
      </c>
      <c r="E22" s="50"/>
      <c r="F22" s="51">
        <f>SUM(F8:F20)</f>
        <v>869890</v>
      </c>
      <c r="G22" s="2">
        <f t="shared" si="0"/>
        <v>-954280</v>
      </c>
      <c r="L22" s="108"/>
      <c r="M22" s="269"/>
      <c r="N22" s="270"/>
      <c r="O22" s="108"/>
      <c r="P22" s="108"/>
    </row>
    <row r="23" spans="1:16" ht="15.75" thickBot="1" x14ac:dyDescent="0.3">
      <c r="A23" s="52"/>
      <c r="B23" s="19"/>
      <c r="C23" s="22"/>
      <c r="D23" s="23"/>
      <c r="E23" s="24"/>
      <c r="F23" s="25"/>
      <c r="G23" s="2" t="str">
        <f t="shared" si="0"/>
        <v/>
      </c>
      <c r="H23" s="19"/>
      <c r="L23" s="108"/>
      <c r="M23" s="108"/>
      <c r="N23" s="272"/>
      <c r="O23" s="108"/>
      <c r="P23" s="108"/>
    </row>
    <row r="24" spans="1:16" x14ac:dyDescent="0.25">
      <c r="A24" s="27" t="s">
        <v>20</v>
      </c>
      <c r="B24" s="28" t="s">
        <v>21</v>
      </c>
      <c r="C24" s="54"/>
      <c r="D24" s="55"/>
      <c r="E24" s="56"/>
      <c r="F24" s="57"/>
      <c r="G24" s="2" t="str">
        <f t="shared" si="0"/>
        <v/>
      </c>
      <c r="H24" s="53"/>
      <c r="L24" s="108"/>
      <c r="M24" s="108"/>
      <c r="N24" s="108"/>
      <c r="O24" s="108"/>
      <c r="P24" s="108"/>
    </row>
    <row r="25" spans="1:16" x14ac:dyDescent="0.25">
      <c r="A25" s="33" t="s">
        <v>22</v>
      </c>
      <c r="B25" s="34" t="s">
        <v>23</v>
      </c>
      <c r="C25" s="8"/>
      <c r="D25" s="8">
        <f>SUM(C26+C27)</f>
        <v>3000</v>
      </c>
      <c r="E25" s="35"/>
      <c r="F25" s="36">
        <f>SUM(E26+E27)</f>
        <v>5000</v>
      </c>
      <c r="G25" s="2">
        <f t="shared" si="0"/>
        <v>2000</v>
      </c>
    </row>
    <row r="26" spans="1:16" x14ac:dyDescent="0.25">
      <c r="A26" s="45"/>
      <c r="B26" s="38" t="s">
        <v>24</v>
      </c>
      <c r="C26" s="8"/>
      <c r="D26" s="40"/>
      <c r="E26" s="35"/>
      <c r="F26" s="11"/>
      <c r="G26" s="2" t="str">
        <f t="shared" si="0"/>
        <v/>
      </c>
    </row>
    <row r="27" spans="1:16" x14ac:dyDescent="0.25">
      <c r="A27" s="45"/>
      <c r="B27" s="38" t="s">
        <v>25</v>
      </c>
      <c r="C27" s="46">
        <v>3000</v>
      </c>
      <c r="D27" s="58"/>
      <c r="E27" s="47">
        <v>5000</v>
      </c>
      <c r="F27" s="11"/>
      <c r="G27" s="2" t="str">
        <f t="shared" si="0"/>
        <v>2.000,00 €</v>
      </c>
    </row>
    <row r="28" spans="1:16" x14ac:dyDescent="0.25">
      <c r="A28" s="45"/>
      <c r="C28" s="8"/>
      <c r="D28" s="40"/>
      <c r="E28" s="47"/>
      <c r="F28" s="11"/>
      <c r="G28" s="2" t="str">
        <f t="shared" si="0"/>
        <v/>
      </c>
      <c r="I28" s="1"/>
      <c r="J28" s="59"/>
    </row>
    <row r="29" spans="1:16" x14ac:dyDescent="0.25">
      <c r="A29" s="33" t="s">
        <v>26</v>
      </c>
      <c r="B29" s="34" t="s">
        <v>27</v>
      </c>
      <c r="C29" s="8"/>
      <c r="D29" s="8">
        <v>0</v>
      </c>
      <c r="E29" s="47"/>
      <c r="F29" s="36">
        <v>0</v>
      </c>
      <c r="G29" s="2">
        <f t="shared" si="0"/>
        <v>0</v>
      </c>
    </row>
    <row r="30" spans="1:16" x14ac:dyDescent="0.25">
      <c r="A30" s="45"/>
      <c r="C30" s="8"/>
      <c r="D30" s="40"/>
      <c r="E30" s="47"/>
      <c r="F30" s="11"/>
      <c r="G30" s="2" t="str">
        <f t="shared" si="0"/>
        <v/>
      </c>
    </row>
    <row r="31" spans="1:16" x14ac:dyDescent="0.25">
      <c r="A31" s="33" t="s">
        <v>28</v>
      </c>
      <c r="B31" s="34" t="s">
        <v>29</v>
      </c>
      <c r="C31" s="8"/>
      <c r="D31" s="8">
        <f>SUM(C32+C33)</f>
        <v>6000</v>
      </c>
      <c r="E31" s="47"/>
      <c r="F31" s="36">
        <f>SUM(E32+E33)</f>
        <v>6000</v>
      </c>
      <c r="G31" s="2">
        <f t="shared" si="0"/>
        <v>0</v>
      </c>
      <c r="H31" s="38"/>
    </row>
    <row r="32" spans="1:16" x14ac:dyDescent="0.25">
      <c r="A32" s="45"/>
      <c r="B32" s="38" t="s">
        <v>24</v>
      </c>
      <c r="C32" s="8">
        <v>0</v>
      </c>
      <c r="D32" s="40"/>
      <c r="E32" s="47">
        <v>0</v>
      </c>
      <c r="F32" s="11"/>
      <c r="G32" s="2" t="str">
        <f>IF(AND(E32="",F32=""),"",IF(E32="",SUM(E32:F32)-SUM(C32:D32),TEXT(SUM(E32:F32)-SUM(C32:D32),"#.###,00 €* ; -#.###,00 €* ; 0,00 €* ;* @")))</f>
        <v xml:space="preserve"> 0,00 €</v>
      </c>
    </row>
    <row r="33" spans="1:8" x14ac:dyDescent="0.25">
      <c r="A33" s="45"/>
      <c r="B33" s="38" t="s">
        <v>25</v>
      </c>
      <c r="C33" s="46">
        <v>6000</v>
      </c>
      <c r="D33" s="58"/>
      <c r="E33" s="47">
        <v>6000</v>
      </c>
      <c r="F33" s="11"/>
      <c r="G33" s="2" t="str">
        <f t="shared" ref="G33:G96" si="1">IF(AND(E33="",F33=""),"",IF(E33="",SUM(E33:F33)-SUM(C33:D33),TEXT(SUM(E33:F33)-SUM(C33:D33),"#.###,00 €* ; -#.###,00 €* ; 0,00 €* ;* @")))</f>
        <v xml:space="preserve"> 0,00 €</v>
      </c>
    </row>
    <row r="34" spans="1:8" x14ac:dyDescent="0.25">
      <c r="A34" s="45"/>
      <c r="B34" s="38"/>
      <c r="C34" s="8"/>
      <c r="D34" s="40"/>
      <c r="E34" s="47"/>
      <c r="F34" s="11"/>
      <c r="G34" s="2" t="str">
        <f t="shared" si="1"/>
        <v/>
      </c>
    </row>
    <row r="35" spans="1:8" x14ac:dyDescent="0.25">
      <c r="A35" s="33" t="s">
        <v>30</v>
      </c>
      <c r="B35" s="34" t="s">
        <v>31</v>
      </c>
      <c r="C35" s="8"/>
      <c r="D35" s="8">
        <v>8000</v>
      </c>
      <c r="E35" s="47"/>
      <c r="F35" s="36">
        <f>SUM(E36:E37)</f>
        <v>8000</v>
      </c>
      <c r="G35" s="2">
        <f t="shared" si="1"/>
        <v>0</v>
      </c>
    </row>
    <row r="36" spans="1:8" x14ac:dyDescent="0.25">
      <c r="A36" s="45"/>
      <c r="B36" s="38" t="s">
        <v>32</v>
      </c>
      <c r="C36" s="8"/>
      <c r="D36" s="40"/>
      <c r="E36" s="47"/>
      <c r="F36" s="11"/>
      <c r="G36" s="2" t="str">
        <f t="shared" si="1"/>
        <v/>
      </c>
    </row>
    <row r="37" spans="1:8" x14ac:dyDescent="0.25">
      <c r="A37" s="45"/>
      <c r="B37" s="38" t="s">
        <v>33</v>
      </c>
      <c r="C37" s="8"/>
      <c r="D37" s="40"/>
      <c r="E37" s="47">
        <v>8000</v>
      </c>
      <c r="F37" s="11"/>
      <c r="G37" s="2" t="str">
        <f t="shared" si="1"/>
        <v>8.000,00 €</v>
      </c>
    </row>
    <row r="38" spans="1:8" x14ac:dyDescent="0.25">
      <c r="A38" s="45"/>
      <c r="B38" s="38"/>
      <c r="C38" s="8"/>
      <c r="D38" s="40"/>
      <c r="E38" s="47"/>
      <c r="F38" s="11"/>
      <c r="G38" s="2" t="str">
        <f t="shared" si="1"/>
        <v/>
      </c>
    </row>
    <row r="39" spans="1:8" x14ac:dyDescent="0.25">
      <c r="A39" s="33" t="s">
        <v>34</v>
      </c>
      <c r="B39" s="34" t="s">
        <v>35</v>
      </c>
      <c r="C39" s="8"/>
      <c r="D39" s="8">
        <v>15000</v>
      </c>
      <c r="E39" s="47"/>
      <c r="F39" s="36">
        <f>SUM(E40:E41)</f>
        <v>15000</v>
      </c>
      <c r="G39" s="2">
        <f t="shared" si="1"/>
        <v>0</v>
      </c>
    </row>
    <row r="40" spans="1:8" x14ac:dyDescent="0.25">
      <c r="A40" s="45"/>
      <c r="B40" s="38" t="s">
        <v>32</v>
      </c>
      <c r="C40" s="8"/>
      <c r="D40" s="40"/>
      <c r="E40" s="47"/>
      <c r="F40" s="11"/>
      <c r="G40" s="2" t="str">
        <f t="shared" si="1"/>
        <v/>
      </c>
    </row>
    <row r="41" spans="1:8" x14ac:dyDescent="0.25">
      <c r="A41" s="45"/>
      <c r="B41" s="38" t="s">
        <v>33</v>
      </c>
      <c r="C41" s="8"/>
      <c r="D41" s="40"/>
      <c r="E41" s="47">
        <v>15000</v>
      </c>
      <c r="F41" s="11"/>
      <c r="G41" s="2" t="str">
        <f t="shared" si="1"/>
        <v>15.000,00 €</v>
      </c>
    </row>
    <row r="42" spans="1:8" x14ac:dyDescent="0.25">
      <c r="A42" s="45"/>
      <c r="C42" s="8"/>
      <c r="D42" s="40"/>
      <c r="E42" s="47"/>
      <c r="F42" s="11"/>
      <c r="G42" s="2" t="str">
        <f t="shared" si="1"/>
        <v/>
      </c>
    </row>
    <row r="43" spans="1:8" x14ac:dyDescent="0.25">
      <c r="A43" s="237" t="s">
        <v>379</v>
      </c>
      <c r="B43" s="34" t="s">
        <v>37</v>
      </c>
      <c r="C43" s="8"/>
      <c r="D43" s="8">
        <v>40</v>
      </c>
      <c r="E43" s="47"/>
      <c r="F43" s="36">
        <f>SUM(E44:E45)</f>
        <v>0</v>
      </c>
      <c r="G43" s="2">
        <f t="shared" si="1"/>
        <v>-40</v>
      </c>
    </row>
    <row r="44" spans="1:8" x14ac:dyDescent="0.25">
      <c r="A44" s="45"/>
      <c r="B44" s="38" t="s">
        <v>24</v>
      </c>
      <c r="C44" s="8"/>
      <c r="D44" s="40"/>
      <c r="E44" s="47"/>
      <c r="F44" s="11"/>
      <c r="G44" s="2" t="str">
        <f t="shared" si="1"/>
        <v/>
      </c>
    </row>
    <row r="45" spans="1:8" x14ac:dyDescent="0.25">
      <c r="A45" s="45"/>
      <c r="B45" t="s">
        <v>25</v>
      </c>
      <c r="C45" s="8"/>
      <c r="D45" s="40"/>
      <c r="E45" s="47"/>
      <c r="F45" s="11"/>
      <c r="G45" s="2" t="str">
        <f t="shared" si="1"/>
        <v/>
      </c>
    </row>
    <row r="46" spans="1:8" x14ac:dyDescent="0.25">
      <c r="A46" s="45"/>
      <c r="C46" s="8"/>
      <c r="D46" s="40"/>
      <c r="E46" s="47"/>
      <c r="F46" s="11"/>
      <c r="G46" s="2" t="str">
        <f t="shared" si="1"/>
        <v/>
      </c>
    </row>
    <row r="47" spans="1:8" s="63" customFormat="1" x14ac:dyDescent="0.25">
      <c r="A47" s="237" t="s">
        <v>36</v>
      </c>
      <c r="B47" s="246" t="s">
        <v>380</v>
      </c>
      <c r="C47" s="8"/>
      <c r="D47" s="8">
        <f>SUM(C48:C48)</f>
        <v>1150</v>
      </c>
      <c r="E47" s="47"/>
      <c r="F47" s="36">
        <f>SUM(E48:E48)</f>
        <v>1150</v>
      </c>
      <c r="G47" s="2">
        <f t="shared" si="1"/>
        <v>0</v>
      </c>
    </row>
    <row r="48" spans="1:8" s="63" customFormat="1" x14ac:dyDescent="0.25">
      <c r="A48" s="248" t="s">
        <v>381</v>
      </c>
      <c r="B48" s="243" t="s">
        <v>385</v>
      </c>
      <c r="C48" s="207">
        <v>1150</v>
      </c>
      <c r="D48" s="40"/>
      <c r="E48" s="47">
        <v>1150</v>
      </c>
      <c r="F48" s="11"/>
      <c r="G48" s="2" t="str">
        <f t="shared" si="1"/>
        <v xml:space="preserve"> 0,00 €</v>
      </c>
      <c r="H48" s="212" t="s">
        <v>383</v>
      </c>
    </row>
    <row r="49" spans="1:8" s="63" customFormat="1" x14ac:dyDescent="0.25">
      <c r="A49" s="45"/>
      <c r="C49" s="8"/>
      <c r="D49" s="40"/>
      <c r="E49" s="47"/>
      <c r="F49" s="11"/>
      <c r="G49" s="2" t="str">
        <f t="shared" si="1"/>
        <v/>
      </c>
    </row>
    <row r="50" spans="1:8" x14ac:dyDescent="0.25">
      <c r="A50" s="33" t="s">
        <v>38</v>
      </c>
      <c r="B50" s="34" t="s">
        <v>39</v>
      </c>
      <c r="C50" s="8"/>
      <c r="D50" s="8">
        <v>12000</v>
      </c>
      <c r="E50" s="47"/>
      <c r="F50" s="36">
        <f>SUM(E51:E52)</f>
        <v>15000</v>
      </c>
      <c r="G50" s="2">
        <f t="shared" si="1"/>
        <v>3000</v>
      </c>
    </row>
    <row r="51" spans="1:8" x14ac:dyDescent="0.25">
      <c r="A51" s="45"/>
      <c r="B51" s="38" t="s">
        <v>24</v>
      </c>
      <c r="C51" s="8"/>
      <c r="D51" s="40"/>
      <c r="E51" s="47">
        <v>3000</v>
      </c>
      <c r="F51" s="11"/>
      <c r="G51" s="2" t="str">
        <f t="shared" si="1"/>
        <v>3.000,00 €</v>
      </c>
    </row>
    <row r="52" spans="1:8" x14ac:dyDescent="0.25">
      <c r="A52" s="45"/>
      <c r="B52" s="38" t="s">
        <v>25</v>
      </c>
      <c r="C52" s="8"/>
      <c r="D52" s="40"/>
      <c r="E52" s="47">
        <v>12000</v>
      </c>
      <c r="F52" s="11"/>
      <c r="G52" s="2" t="str">
        <f t="shared" si="1"/>
        <v>12.000,00 €</v>
      </c>
    </row>
    <row r="53" spans="1:8" s="63" customFormat="1" x14ac:dyDescent="0.25">
      <c r="A53" s="45"/>
      <c r="B53" s="38"/>
      <c r="C53" s="8"/>
      <c r="D53" s="40"/>
      <c r="E53" s="47"/>
      <c r="F53" s="11"/>
      <c r="G53" s="2" t="str">
        <f t="shared" si="1"/>
        <v/>
      </c>
    </row>
    <row r="54" spans="1:8" x14ac:dyDescent="0.25">
      <c r="A54" s="33" t="s">
        <v>40</v>
      </c>
      <c r="B54" s="34" t="s">
        <v>41</v>
      </c>
      <c r="C54" s="8"/>
      <c r="D54" s="8">
        <f>SUM(C55:C56)</f>
        <v>100</v>
      </c>
      <c r="E54" s="35"/>
      <c r="F54" s="36">
        <f>SUM(E55:E56)</f>
        <v>100</v>
      </c>
      <c r="G54" s="2">
        <f t="shared" si="1"/>
        <v>0</v>
      </c>
    </row>
    <row r="55" spans="1:8" ht="14.25" customHeight="1" x14ac:dyDescent="0.25">
      <c r="A55" s="248" t="s">
        <v>338</v>
      </c>
      <c r="B55" s="243" t="s">
        <v>56</v>
      </c>
      <c r="C55" s="207">
        <v>0</v>
      </c>
      <c r="D55" s="207"/>
      <c r="E55" s="209">
        <v>0</v>
      </c>
      <c r="F55" s="208"/>
      <c r="G55" s="2" t="str">
        <f t="shared" si="1"/>
        <v xml:space="preserve"> 0,00 €</v>
      </c>
      <c r="H55" s="212" t="s">
        <v>363</v>
      </c>
    </row>
    <row r="56" spans="1:8" x14ac:dyDescent="0.25">
      <c r="A56" s="248" t="s">
        <v>339</v>
      </c>
      <c r="B56" s="243" t="s">
        <v>58</v>
      </c>
      <c r="C56" s="207">
        <v>100</v>
      </c>
      <c r="D56" s="207"/>
      <c r="E56" s="209">
        <f>20*2.5*2</f>
        <v>100</v>
      </c>
      <c r="F56" s="252"/>
      <c r="G56" s="2" t="str">
        <f t="shared" si="1"/>
        <v xml:space="preserve"> 0,00 €</v>
      </c>
      <c r="H56" s="253" t="s">
        <v>388</v>
      </c>
    </row>
    <row r="57" spans="1:8" s="63" customFormat="1" x14ac:dyDescent="0.25">
      <c r="A57" s="45"/>
      <c r="C57" s="8"/>
      <c r="D57" s="40"/>
      <c r="E57" s="35"/>
      <c r="F57" s="11"/>
      <c r="G57" s="2" t="str">
        <f t="shared" si="1"/>
        <v/>
      </c>
    </row>
    <row r="58" spans="1:8" ht="15.75" thickBot="1" x14ac:dyDescent="0.3">
      <c r="A58" s="48" t="s">
        <v>42</v>
      </c>
      <c r="B58" s="16" t="s">
        <v>21</v>
      </c>
      <c r="C58" s="49"/>
      <c r="D58" s="49">
        <f>SUM(D25:D54)</f>
        <v>45290</v>
      </c>
      <c r="E58" s="50"/>
      <c r="F58" s="51">
        <f>SUM(F25:F56)</f>
        <v>50250</v>
      </c>
      <c r="G58" s="2">
        <f t="shared" si="1"/>
        <v>4960</v>
      </c>
      <c r="H58" s="19"/>
    </row>
    <row r="59" spans="1:8" ht="15.75" thickBot="1" x14ac:dyDescent="0.3">
      <c r="A59" s="52"/>
      <c r="B59" s="19"/>
      <c r="C59" s="22"/>
      <c r="D59" s="23"/>
      <c r="E59" s="24"/>
      <c r="F59" s="25"/>
      <c r="G59" s="2" t="str">
        <f t="shared" si="1"/>
        <v/>
      </c>
    </row>
    <row r="60" spans="1:8" x14ac:dyDescent="0.25">
      <c r="A60" s="27" t="s">
        <v>43</v>
      </c>
      <c r="B60" s="28" t="s">
        <v>44</v>
      </c>
      <c r="C60" s="60"/>
      <c r="D60" s="55"/>
      <c r="E60" s="56"/>
      <c r="F60" s="57"/>
      <c r="G60" s="2" t="str">
        <f t="shared" si="1"/>
        <v/>
      </c>
    </row>
    <row r="61" spans="1:8" x14ac:dyDescent="0.25">
      <c r="A61" s="33" t="s">
        <v>45</v>
      </c>
      <c r="B61" s="246" t="s">
        <v>390</v>
      </c>
      <c r="C61" s="8"/>
      <c r="D61" s="8">
        <f>SUM(C62:C63)</f>
        <v>508000</v>
      </c>
      <c r="E61" s="35"/>
      <c r="F61" s="36">
        <f>SUM(E62:E63)</f>
        <v>508000</v>
      </c>
      <c r="G61" s="2">
        <f t="shared" si="1"/>
        <v>0</v>
      </c>
    </row>
    <row r="62" spans="1:8" x14ac:dyDescent="0.25">
      <c r="A62" s="248" t="s">
        <v>391</v>
      </c>
      <c r="B62" s="239" t="s">
        <v>392</v>
      </c>
      <c r="C62" s="207">
        <v>480000</v>
      </c>
      <c r="D62" s="254"/>
      <c r="E62" s="209">
        <v>480000</v>
      </c>
      <c r="F62" s="11"/>
      <c r="G62" s="2" t="str">
        <f t="shared" si="1"/>
        <v xml:space="preserve"> 0,00 €</v>
      </c>
    </row>
    <row r="63" spans="1:8" x14ac:dyDescent="0.25">
      <c r="A63" s="248" t="s">
        <v>389</v>
      </c>
      <c r="B63" s="243" t="s">
        <v>48</v>
      </c>
      <c r="C63" s="207">
        <v>28000</v>
      </c>
      <c r="D63" s="8"/>
      <c r="E63" s="209">
        <v>28000</v>
      </c>
      <c r="F63" s="36"/>
      <c r="G63" s="2" t="str">
        <f t="shared" si="1"/>
        <v xml:space="preserve"> 0,00 €</v>
      </c>
    </row>
    <row r="64" spans="1:8" x14ac:dyDescent="0.25">
      <c r="A64" s="45"/>
      <c r="B64" s="38"/>
      <c r="C64" s="8"/>
      <c r="D64" s="40"/>
      <c r="E64" s="35"/>
      <c r="F64" s="11"/>
      <c r="G64" s="2" t="str">
        <f t="shared" si="1"/>
        <v/>
      </c>
    </row>
    <row r="65" spans="1:9" x14ac:dyDescent="0.25">
      <c r="A65" s="237" t="s">
        <v>47</v>
      </c>
      <c r="B65" s="246" t="s">
        <v>397</v>
      </c>
      <c r="C65" s="8"/>
      <c r="D65" s="8">
        <f>SUM(C66:C69)</f>
        <v>61150</v>
      </c>
      <c r="E65" s="35"/>
      <c r="F65" s="36">
        <f>SUM(E66:E69)</f>
        <v>461150</v>
      </c>
      <c r="G65" s="2">
        <f t="shared" si="1"/>
        <v>400000</v>
      </c>
    </row>
    <row r="66" spans="1:9" s="63" customFormat="1" x14ac:dyDescent="0.25">
      <c r="A66" s="248" t="s">
        <v>393</v>
      </c>
      <c r="B66" s="243" t="s">
        <v>33</v>
      </c>
      <c r="C66" s="207">
        <v>30000</v>
      </c>
      <c r="D66" s="254"/>
      <c r="E66" s="209">
        <v>30000</v>
      </c>
      <c r="F66" s="252"/>
      <c r="G66" s="2" t="str">
        <f t="shared" si="1"/>
        <v xml:space="preserve"> 0,00 €</v>
      </c>
    </row>
    <row r="67" spans="1:9" s="19" customFormat="1" x14ac:dyDescent="0.25">
      <c r="A67" s="248" t="s">
        <v>394</v>
      </c>
      <c r="B67" s="243" t="s">
        <v>359</v>
      </c>
      <c r="C67" s="207">
        <v>1150</v>
      </c>
      <c r="D67" s="207"/>
      <c r="E67" s="209">
        <v>1150</v>
      </c>
      <c r="F67" s="208"/>
      <c r="G67" s="2" t="str">
        <f t="shared" si="1"/>
        <v xml:space="preserve"> 0,00 €</v>
      </c>
      <c r="H67" s="212" t="s">
        <v>384</v>
      </c>
    </row>
    <row r="68" spans="1:9" x14ac:dyDescent="0.25">
      <c r="A68" s="248" t="s">
        <v>395</v>
      </c>
      <c r="B68" s="243" t="s">
        <v>49</v>
      </c>
      <c r="C68" s="207">
        <v>30000</v>
      </c>
      <c r="D68" s="254"/>
      <c r="E68" s="209">
        <v>30000</v>
      </c>
      <c r="F68" s="252"/>
      <c r="G68" s="2" t="str">
        <f t="shared" si="1"/>
        <v xml:space="preserve"> 0,00 €</v>
      </c>
      <c r="H68" s="63"/>
      <c r="I68" s="1"/>
    </row>
    <row r="69" spans="1:9" s="63" customFormat="1" x14ac:dyDescent="0.25">
      <c r="A69" s="248" t="s">
        <v>396</v>
      </c>
      <c r="B69" s="243" t="s">
        <v>57</v>
      </c>
      <c r="C69" s="207"/>
      <c r="D69" s="207"/>
      <c r="E69" s="209">
        <v>400000</v>
      </c>
      <c r="F69" s="208"/>
      <c r="G69" s="2" t="str">
        <f t="shared" si="1"/>
        <v>400.000,00 €</v>
      </c>
    </row>
    <row r="70" spans="1:9" s="63" customFormat="1" x14ac:dyDescent="0.25">
      <c r="A70" s="45"/>
      <c r="B70" s="108"/>
      <c r="C70" s="8"/>
      <c r="D70" s="8"/>
      <c r="E70" s="35"/>
      <c r="F70" s="36"/>
      <c r="G70" s="2" t="str">
        <f t="shared" si="1"/>
        <v/>
      </c>
    </row>
    <row r="71" spans="1:9" ht="15.75" thickBot="1" x14ac:dyDescent="0.3">
      <c r="A71" s="48" t="s">
        <v>50</v>
      </c>
      <c r="B71" s="16" t="s">
        <v>51</v>
      </c>
      <c r="C71" s="17"/>
      <c r="D71" s="17">
        <f>SUM(D61:D69)</f>
        <v>569150</v>
      </c>
      <c r="E71" s="61"/>
      <c r="F71" s="62">
        <f>SUM(F61:F70)</f>
        <v>969150</v>
      </c>
      <c r="G71" s="2">
        <f t="shared" si="1"/>
        <v>400000</v>
      </c>
      <c r="H71" t="s">
        <v>46</v>
      </c>
    </row>
    <row r="72" spans="1:9" ht="15" customHeight="1" thickBot="1" x14ac:dyDescent="0.3">
      <c r="A72" s="52"/>
      <c r="B72" s="19"/>
      <c r="C72" s="26"/>
      <c r="D72" s="19"/>
      <c r="F72" s="63"/>
      <c r="G72" s="2" t="str">
        <f t="shared" si="1"/>
        <v/>
      </c>
      <c r="H72" s="2"/>
    </row>
    <row r="73" spans="1:9" ht="16.5" customHeight="1" x14ac:dyDescent="0.3">
      <c r="A73" s="64" t="s">
        <v>60</v>
      </c>
      <c r="B73" s="65"/>
      <c r="C73" s="29"/>
      <c r="D73" s="66"/>
      <c r="E73" s="67"/>
      <c r="F73" s="32"/>
      <c r="G73" s="2" t="str">
        <f t="shared" si="1"/>
        <v/>
      </c>
      <c r="H73" s="70"/>
    </row>
    <row r="74" spans="1:9" x14ac:dyDescent="0.25">
      <c r="A74" s="45"/>
      <c r="B74" s="135" t="s">
        <v>61</v>
      </c>
      <c r="C74" s="8"/>
      <c r="D74" s="68">
        <f>D22+D58</f>
        <v>1869460</v>
      </c>
      <c r="E74" s="10"/>
      <c r="F74" s="69">
        <f>F22+F58</f>
        <v>920140</v>
      </c>
      <c r="G74" s="2">
        <f t="shared" si="1"/>
        <v>-949320</v>
      </c>
    </row>
    <row r="75" spans="1:9" x14ac:dyDescent="0.25">
      <c r="A75" s="45"/>
      <c r="B75" s="135" t="s">
        <v>345</v>
      </c>
      <c r="C75" s="8"/>
      <c r="D75" s="71">
        <f>D74+D71</f>
        <v>2438610</v>
      </c>
      <c r="E75" s="10"/>
      <c r="F75" s="36">
        <f>F74+F71</f>
        <v>1889290</v>
      </c>
      <c r="G75" s="2">
        <f t="shared" si="1"/>
        <v>-549320</v>
      </c>
    </row>
    <row r="76" spans="1:9" ht="15.75" thickBot="1" x14ac:dyDescent="0.3">
      <c r="A76" s="72"/>
      <c r="B76" s="73"/>
      <c r="C76" s="74"/>
      <c r="D76" s="75"/>
      <c r="E76" s="76"/>
      <c r="F76" s="77"/>
      <c r="G76" s="2" t="str">
        <f t="shared" si="1"/>
        <v/>
      </c>
      <c r="H76" s="19"/>
    </row>
    <row r="77" spans="1:9" ht="15.75" thickBot="1" x14ac:dyDescent="0.3">
      <c r="A77" s="261" t="s">
        <v>62</v>
      </c>
      <c r="B77" s="261"/>
      <c r="C77" s="22"/>
      <c r="D77" s="78"/>
      <c r="E77" s="24"/>
      <c r="F77" s="79"/>
      <c r="G77" s="2" t="str">
        <f t="shared" si="1"/>
        <v/>
      </c>
    </row>
    <row r="78" spans="1:9" x14ac:dyDescent="0.25">
      <c r="A78" s="27" t="s">
        <v>63</v>
      </c>
      <c r="B78" s="28" t="s">
        <v>64</v>
      </c>
      <c r="C78" s="29"/>
      <c r="D78" s="30"/>
      <c r="E78" s="31"/>
      <c r="F78" s="32"/>
      <c r="G78" s="2" t="str">
        <f t="shared" si="1"/>
        <v/>
      </c>
    </row>
    <row r="79" spans="1:9" x14ac:dyDescent="0.25">
      <c r="A79" s="33" t="s">
        <v>65</v>
      </c>
      <c r="B79" s="34" t="s">
        <v>66</v>
      </c>
      <c r="C79" s="8"/>
      <c r="D79" s="8">
        <v>160000</v>
      </c>
      <c r="E79" s="35"/>
      <c r="F79" s="36">
        <v>176000</v>
      </c>
      <c r="G79" s="2">
        <f t="shared" si="1"/>
        <v>16000</v>
      </c>
    </row>
    <row r="80" spans="1:9" s="63" customFormat="1" x14ac:dyDescent="0.25">
      <c r="A80" s="45"/>
      <c r="B80" s="108"/>
      <c r="C80" s="8"/>
      <c r="D80" s="8"/>
      <c r="E80" s="35"/>
      <c r="F80" s="36"/>
      <c r="G80" s="2" t="str">
        <f t="shared" si="1"/>
        <v/>
      </c>
    </row>
    <row r="81" spans="1:8" x14ac:dyDescent="0.25">
      <c r="A81" s="33" t="s">
        <v>67</v>
      </c>
      <c r="B81" s="34" t="s">
        <v>68</v>
      </c>
      <c r="C81" s="54"/>
      <c r="D81" s="80">
        <f>C82+C83</f>
        <v>88800</v>
      </c>
      <c r="E81" s="35"/>
      <c r="F81" s="36">
        <f>E82+E83</f>
        <v>88800</v>
      </c>
      <c r="G81" s="2">
        <f t="shared" si="1"/>
        <v>0</v>
      </c>
    </row>
    <row r="82" spans="1:8" x14ac:dyDescent="0.25">
      <c r="A82" s="273" t="s">
        <v>69</v>
      </c>
      <c r="B82" s="38" t="s">
        <v>70</v>
      </c>
      <c r="C82" s="46">
        <v>12000</v>
      </c>
      <c r="D82" s="58"/>
      <c r="E82" s="47">
        <v>12000</v>
      </c>
      <c r="F82" s="11"/>
      <c r="G82" s="2" t="str">
        <f t="shared" si="1"/>
        <v xml:space="preserve"> 0,00 €</v>
      </c>
    </row>
    <row r="83" spans="1:8" x14ac:dyDescent="0.25">
      <c r="A83" s="273" t="s">
        <v>71</v>
      </c>
      <c r="B83" s="38" t="s">
        <v>72</v>
      </c>
      <c r="C83" s="46">
        <v>76800</v>
      </c>
      <c r="D83" s="58"/>
      <c r="E83" s="47">
        <v>76800</v>
      </c>
      <c r="F83" s="11"/>
      <c r="G83" s="2" t="str">
        <f t="shared" si="1"/>
        <v xml:space="preserve"> 0,00 €</v>
      </c>
    </row>
    <row r="84" spans="1:8" s="63" customFormat="1" x14ac:dyDescent="0.25">
      <c r="A84" s="45"/>
      <c r="B84" s="81"/>
      <c r="C84" s="8"/>
      <c r="D84" s="40"/>
      <c r="E84" s="35"/>
      <c r="F84" s="11"/>
      <c r="G84" s="2" t="str">
        <f t="shared" si="1"/>
        <v/>
      </c>
    </row>
    <row r="85" spans="1:8" x14ac:dyDescent="0.25">
      <c r="A85" s="33" t="s">
        <v>73</v>
      </c>
      <c r="B85" s="82" t="s">
        <v>74</v>
      </c>
      <c r="C85" s="54"/>
      <c r="D85" s="80">
        <f>C86+C87</f>
        <v>4100</v>
      </c>
      <c r="E85" s="35"/>
      <c r="F85" s="36">
        <f>E86+E87</f>
        <v>4100</v>
      </c>
      <c r="G85" s="2">
        <f t="shared" si="1"/>
        <v>0</v>
      </c>
    </row>
    <row r="86" spans="1:8" x14ac:dyDescent="0.25">
      <c r="A86" s="273" t="s">
        <v>75</v>
      </c>
      <c r="B86" s="38" t="s">
        <v>76</v>
      </c>
      <c r="C86" s="46">
        <v>3600</v>
      </c>
      <c r="D86" s="58"/>
      <c r="E86" s="47">
        <v>3600</v>
      </c>
      <c r="F86" s="11"/>
      <c r="G86" s="2" t="str">
        <f t="shared" si="1"/>
        <v xml:space="preserve"> 0,00 €</v>
      </c>
    </row>
    <row r="87" spans="1:8" x14ac:dyDescent="0.25">
      <c r="A87" s="273" t="s">
        <v>77</v>
      </c>
      <c r="B87" s="38" t="s">
        <v>78</v>
      </c>
      <c r="C87" s="46">
        <v>500</v>
      </c>
      <c r="D87" s="58"/>
      <c r="E87" s="47">
        <v>500</v>
      </c>
      <c r="F87" s="11"/>
      <c r="G87" s="2" t="str">
        <f t="shared" si="1"/>
        <v xml:space="preserve"> 0,00 €</v>
      </c>
    </row>
    <row r="88" spans="1:8" s="63" customFormat="1" x14ac:dyDescent="0.25">
      <c r="A88" s="248" t="s">
        <v>402</v>
      </c>
      <c r="B88" s="211" t="s">
        <v>403</v>
      </c>
      <c r="C88" s="46"/>
      <c r="D88" s="58"/>
      <c r="E88" s="47"/>
      <c r="F88" s="11"/>
      <c r="G88" s="2" t="str">
        <f t="shared" si="1"/>
        <v/>
      </c>
    </row>
    <row r="89" spans="1:8" s="63" customFormat="1" x14ac:dyDescent="0.25">
      <c r="A89" s="273"/>
      <c r="B89" s="38"/>
      <c r="C89" s="46"/>
      <c r="D89" s="58"/>
      <c r="E89" s="47"/>
      <c r="F89" s="11"/>
      <c r="G89" s="2" t="str">
        <f t="shared" si="1"/>
        <v/>
      </c>
    </row>
    <row r="90" spans="1:8" x14ac:dyDescent="0.25">
      <c r="A90" s="33" t="s">
        <v>79</v>
      </c>
      <c r="B90" s="34" t="s">
        <v>80</v>
      </c>
      <c r="C90" s="8"/>
      <c r="D90" s="8">
        <v>9750</v>
      </c>
      <c r="E90" s="35"/>
      <c r="F90" s="36">
        <f>SUM(E91:E92)</f>
        <v>9750</v>
      </c>
      <c r="G90" s="2">
        <f t="shared" si="1"/>
        <v>0</v>
      </c>
    </row>
    <row r="91" spans="1:8" x14ac:dyDescent="0.25">
      <c r="A91" s="273" t="s">
        <v>81</v>
      </c>
      <c r="B91" s="38" t="s">
        <v>82</v>
      </c>
      <c r="C91" s="8"/>
      <c r="D91" s="40"/>
      <c r="E91" s="47">
        <v>9250</v>
      </c>
      <c r="F91" s="11"/>
      <c r="G91" s="2" t="str">
        <f t="shared" si="1"/>
        <v>9.250,00 €</v>
      </c>
      <c r="H91" s="212" t="s">
        <v>363</v>
      </c>
    </row>
    <row r="92" spans="1:8" x14ac:dyDescent="0.25">
      <c r="A92" s="273" t="s">
        <v>83</v>
      </c>
      <c r="B92" s="38" t="s">
        <v>84</v>
      </c>
      <c r="C92" s="8"/>
      <c r="D92" s="40"/>
      <c r="E92" s="47">
        <v>500</v>
      </c>
      <c r="F92" s="11"/>
      <c r="G92" s="2" t="str">
        <f t="shared" si="1"/>
        <v>500,00 €</v>
      </c>
      <c r="H92" s="212" t="s">
        <v>363</v>
      </c>
    </row>
    <row r="93" spans="1:8" s="63" customFormat="1" x14ac:dyDescent="0.25">
      <c r="A93" s="273"/>
      <c r="B93" s="38"/>
      <c r="C93" s="8"/>
      <c r="D93" s="40"/>
      <c r="E93" s="47"/>
      <c r="F93" s="11"/>
      <c r="G93" s="2" t="str">
        <f t="shared" si="1"/>
        <v/>
      </c>
    </row>
    <row r="94" spans="1:8" x14ac:dyDescent="0.25">
      <c r="A94" s="33" t="s">
        <v>85</v>
      </c>
      <c r="B94" s="34" t="s">
        <v>86</v>
      </c>
      <c r="C94" s="54"/>
      <c r="D94" s="80">
        <f>C95+C96</f>
        <v>11100</v>
      </c>
      <c r="E94" s="35"/>
      <c r="F94" s="36">
        <f>E95+E96</f>
        <v>11200</v>
      </c>
      <c r="G94" s="2">
        <f t="shared" si="1"/>
        <v>100</v>
      </c>
    </row>
    <row r="95" spans="1:8" s="19" customFormat="1" x14ac:dyDescent="0.25">
      <c r="A95" s="273" t="s">
        <v>87</v>
      </c>
      <c r="B95" s="38" t="s">
        <v>88</v>
      </c>
      <c r="C95" s="83">
        <v>2100</v>
      </c>
      <c r="D95" s="58"/>
      <c r="E95" s="84">
        <v>2200</v>
      </c>
      <c r="F95" s="11"/>
      <c r="G95" s="2" t="str">
        <f t="shared" si="1"/>
        <v>100,00 €</v>
      </c>
      <c r="H95"/>
    </row>
    <row r="96" spans="1:8" x14ac:dyDescent="0.25">
      <c r="A96" s="273" t="s">
        <v>89</v>
      </c>
      <c r="B96" s="233" t="s">
        <v>90</v>
      </c>
      <c r="C96" s="46">
        <v>9000</v>
      </c>
      <c r="D96" s="58"/>
      <c r="E96" s="47">
        <v>9000</v>
      </c>
      <c r="F96" s="11"/>
      <c r="G96" s="2" t="str">
        <f t="shared" si="1"/>
        <v xml:space="preserve"> 0,00 €</v>
      </c>
    </row>
    <row r="97" spans="1:8" x14ac:dyDescent="0.25">
      <c r="A97" s="45"/>
      <c r="C97" s="8"/>
      <c r="D97" s="40"/>
      <c r="E97" s="35"/>
      <c r="F97" s="11"/>
      <c r="G97" s="2" t="str">
        <f t="shared" ref="G97:G160" si="2">IF(AND(E97="",F97=""),"",IF(E97="",SUM(E97:F97)-SUM(C97:D97),TEXT(SUM(E97:F97)-SUM(C97:D97),"#.###,00 €* ; -#.###,00 €* ; 0,00 €* ;* @")))</f>
        <v/>
      </c>
      <c r="H97" s="12"/>
    </row>
    <row r="98" spans="1:8" ht="15.75" thickBot="1" x14ac:dyDescent="0.3">
      <c r="A98" s="48" t="s">
        <v>91</v>
      </c>
      <c r="B98" s="16" t="s">
        <v>64</v>
      </c>
      <c r="C98" s="49"/>
      <c r="D98" s="85">
        <f>SUM(D79:D97)</f>
        <v>273750</v>
      </c>
      <c r="E98" s="50"/>
      <c r="F98" s="86">
        <f>SUM(F79:F97)</f>
        <v>289850</v>
      </c>
      <c r="G98" s="2">
        <f t="shared" si="2"/>
        <v>16100</v>
      </c>
      <c r="H98" s="19"/>
    </row>
    <row r="99" spans="1:8" ht="15.75" thickBot="1" x14ac:dyDescent="0.3">
      <c r="A99" s="52"/>
      <c r="B99" s="19"/>
      <c r="C99" s="22"/>
      <c r="D99" s="23"/>
      <c r="E99" s="24"/>
      <c r="F99" s="25"/>
      <c r="G99" s="2" t="str">
        <f t="shared" si="2"/>
        <v/>
      </c>
    </row>
    <row r="100" spans="1:8" x14ac:dyDescent="0.25">
      <c r="A100" s="27" t="s">
        <v>92</v>
      </c>
      <c r="B100" s="28" t="s">
        <v>93</v>
      </c>
      <c r="C100" s="29"/>
      <c r="D100" s="30"/>
      <c r="E100" s="31"/>
      <c r="F100" s="32"/>
      <c r="G100" s="2" t="str">
        <f t="shared" si="2"/>
        <v/>
      </c>
    </row>
    <row r="101" spans="1:8" x14ac:dyDescent="0.25">
      <c r="A101" s="33" t="s">
        <v>94</v>
      </c>
      <c r="B101" s="34" t="s">
        <v>95</v>
      </c>
      <c r="C101" s="8"/>
      <c r="D101" s="8">
        <f>SUM(C102:C108)</f>
        <v>48400</v>
      </c>
      <c r="E101" s="35"/>
      <c r="F101" s="36">
        <f>SUM(E102:E109)</f>
        <v>47550</v>
      </c>
      <c r="G101" s="2">
        <f t="shared" si="2"/>
        <v>-850</v>
      </c>
    </row>
    <row r="102" spans="1:8" x14ac:dyDescent="0.25">
      <c r="A102" s="273" t="s">
        <v>96</v>
      </c>
      <c r="B102" s="38" t="s">
        <v>97</v>
      </c>
      <c r="C102" s="46">
        <v>25000</v>
      </c>
      <c r="D102" s="58"/>
      <c r="E102" s="47">
        <v>25000</v>
      </c>
      <c r="F102" s="11"/>
      <c r="G102" s="2" t="str">
        <f t="shared" si="2"/>
        <v xml:space="preserve"> 0,00 €</v>
      </c>
    </row>
    <row r="103" spans="1:8" x14ac:dyDescent="0.25">
      <c r="A103" s="273" t="s">
        <v>98</v>
      </c>
      <c r="B103" s="233" t="s">
        <v>99</v>
      </c>
      <c r="C103" s="46">
        <v>2000</v>
      </c>
      <c r="D103" s="58"/>
      <c r="E103" s="47">
        <v>1500</v>
      </c>
      <c r="F103" s="11"/>
      <c r="G103" s="258" t="str">
        <f t="shared" si="2"/>
        <v xml:space="preserve"> -500,00 €</v>
      </c>
      <c r="H103" s="212" t="s">
        <v>362</v>
      </c>
    </row>
    <row r="104" spans="1:8" x14ac:dyDescent="0.25">
      <c r="A104" s="273" t="s">
        <v>100</v>
      </c>
      <c r="B104" s="233" t="s">
        <v>101</v>
      </c>
      <c r="C104" s="46">
        <v>12000</v>
      </c>
      <c r="D104" s="58"/>
      <c r="E104" s="47">
        <v>11000</v>
      </c>
      <c r="F104" s="11"/>
      <c r="G104" s="258" t="str">
        <f t="shared" si="2"/>
        <v xml:space="preserve"> -1.000,00 €</v>
      </c>
      <c r="H104" s="212" t="s">
        <v>362</v>
      </c>
    </row>
    <row r="105" spans="1:8" x14ac:dyDescent="0.25">
      <c r="A105" s="273" t="s">
        <v>102</v>
      </c>
      <c r="B105" s="38" t="s">
        <v>103</v>
      </c>
      <c r="C105" s="46">
        <v>1800</v>
      </c>
      <c r="D105" s="58"/>
      <c r="E105" s="47">
        <v>1800</v>
      </c>
      <c r="F105" s="11"/>
      <c r="G105" s="2" t="str">
        <f t="shared" si="2"/>
        <v xml:space="preserve"> 0,00 €</v>
      </c>
    </row>
    <row r="106" spans="1:8" x14ac:dyDescent="0.25">
      <c r="A106" s="273" t="s">
        <v>104</v>
      </c>
      <c r="B106" s="233" t="s">
        <v>105</v>
      </c>
      <c r="C106" s="46">
        <v>5000</v>
      </c>
      <c r="D106" s="58"/>
      <c r="E106" s="47">
        <v>5000</v>
      </c>
      <c r="F106" s="11"/>
      <c r="G106" s="2" t="str">
        <f t="shared" si="2"/>
        <v xml:space="preserve"> 0,00 €</v>
      </c>
      <c r="H106" s="212" t="s">
        <v>362</v>
      </c>
    </row>
    <row r="107" spans="1:8" x14ac:dyDescent="0.25">
      <c r="A107" s="273" t="s">
        <v>106</v>
      </c>
      <c r="B107" s="38" t="s">
        <v>107</v>
      </c>
      <c r="C107" s="46">
        <v>1200</v>
      </c>
      <c r="D107" s="58"/>
      <c r="E107" s="47">
        <v>1200</v>
      </c>
      <c r="F107" s="11"/>
      <c r="G107" s="2" t="str">
        <f t="shared" si="2"/>
        <v xml:space="preserve"> 0,00 €</v>
      </c>
    </row>
    <row r="108" spans="1:8" ht="15" customHeight="1" x14ac:dyDescent="0.25">
      <c r="A108" s="273" t="s">
        <v>108</v>
      </c>
      <c r="B108" s="38" t="s">
        <v>109</v>
      </c>
      <c r="C108" s="46">
        <v>1400</v>
      </c>
      <c r="D108" s="58"/>
      <c r="E108" s="47">
        <v>900</v>
      </c>
      <c r="F108" s="11"/>
      <c r="G108" s="258" t="str">
        <f t="shared" si="2"/>
        <v xml:space="preserve"> -500,00 €</v>
      </c>
      <c r="H108" s="212" t="s">
        <v>362</v>
      </c>
    </row>
    <row r="109" spans="1:8" s="63" customFormat="1" ht="15" customHeight="1" x14ac:dyDescent="0.25">
      <c r="A109" s="248" t="s">
        <v>349</v>
      </c>
      <c r="B109" s="239" t="s">
        <v>350</v>
      </c>
      <c r="C109" s="207">
        <v>1150</v>
      </c>
      <c r="D109" s="8"/>
      <c r="E109" s="209">
        <v>1150</v>
      </c>
      <c r="F109" s="36"/>
      <c r="G109" s="2" t="str">
        <f t="shared" si="2"/>
        <v xml:space="preserve"> 0,00 €</v>
      </c>
      <c r="H109" s="212" t="s">
        <v>384</v>
      </c>
    </row>
    <row r="110" spans="1:8" ht="15" customHeight="1" x14ac:dyDescent="0.25">
      <c r="A110" s="45"/>
      <c r="B110" s="38"/>
      <c r="C110" s="46"/>
      <c r="D110" s="40"/>
      <c r="E110" s="47"/>
      <c r="F110" s="11"/>
      <c r="G110" s="2" t="str">
        <f t="shared" si="2"/>
        <v/>
      </c>
    </row>
    <row r="111" spans="1:8" x14ac:dyDescent="0.25">
      <c r="A111" s="33" t="s">
        <v>110</v>
      </c>
      <c r="B111" s="34" t="s">
        <v>111</v>
      </c>
      <c r="C111" s="46"/>
      <c r="D111" s="8">
        <v>7500</v>
      </c>
      <c r="E111" s="47"/>
      <c r="F111" s="36">
        <v>5000</v>
      </c>
      <c r="G111" s="2">
        <f t="shared" si="2"/>
        <v>-2500</v>
      </c>
    </row>
    <row r="112" spans="1:8" x14ac:dyDescent="0.25">
      <c r="A112" s="45"/>
      <c r="C112" s="46"/>
      <c r="D112" s="40"/>
      <c r="E112" s="47"/>
      <c r="F112" s="11"/>
      <c r="G112" s="2" t="str">
        <f t="shared" si="2"/>
        <v/>
      </c>
    </row>
    <row r="113" spans="1:9" x14ac:dyDescent="0.25">
      <c r="A113" s="33" t="s">
        <v>112</v>
      </c>
      <c r="B113" s="34" t="s">
        <v>113</v>
      </c>
      <c r="C113" s="46"/>
      <c r="D113" s="8">
        <f>SUM(C114:C116)</f>
        <v>11500</v>
      </c>
      <c r="E113" s="47"/>
      <c r="F113" s="36">
        <f>SUM(E114:E116)</f>
        <v>11000</v>
      </c>
      <c r="G113" s="2">
        <f t="shared" si="2"/>
        <v>-500</v>
      </c>
    </row>
    <row r="114" spans="1:9" x14ac:dyDescent="0.25">
      <c r="A114" s="273" t="s">
        <v>114</v>
      </c>
      <c r="B114" s="233" t="s">
        <v>115</v>
      </c>
      <c r="C114" s="46">
        <v>4000</v>
      </c>
      <c r="D114" s="58"/>
      <c r="E114" s="47">
        <v>4000</v>
      </c>
      <c r="F114" s="11"/>
      <c r="G114" s="2" t="str">
        <f t="shared" si="2"/>
        <v xml:space="preserve"> 0,00 €</v>
      </c>
      <c r="H114" s="212" t="s">
        <v>362</v>
      </c>
    </row>
    <row r="115" spans="1:9" x14ac:dyDescent="0.25">
      <c r="A115" s="273" t="s">
        <v>116</v>
      </c>
      <c r="B115" s="38" t="s">
        <v>117</v>
      </c>
      <c r="C115" s="46">
        <v>6000</v>
      </c>
      <c r="D115" s="58"/>
      <c r="E115" s="47">
        <v>6000</v>
      </c>
      <c r="F115" s="11"/>
      <c r="G115" s="2" t="str">
        <f t="shared" si="2"/>
        <v xml:space="preserve"> 0,00 €</v>
      </c>
    </row>
    <row r="116" spans="1:9" x14ac:dyDescent="0.25">
      <c r="A116" s="273" t="s">
        <v>118</v>
      </c>
      <c r="B116" s="233" t="s">
        <v>119</v>
      </c>
      <c r="C116" s="46">
        <v>1500</v>
      </c>
      <c r="D116" s="58"/>
      <c r="E116" s="47">
        <v>1000</v>
      </c>
      <c r="F116" s="11"/>
      <c r="G116" s="258" t="str">
        <f t="shared" si="2"/>
        <v xml:space="preserve"> -500,00 €</v>
      </c>
      <c r="H116" s="212" t="s">
        <v>362</v>
      </c>
    </row>
    <row r="117" spans="1:9" x14ac:dyDescent="0.25">
      <c r="A117" s="45"/>
      <c r="C117" s="46"/>
      <c r="D117" s="40"/>
      <c r="E117" s="47"/>
      <c r="F117" s="11"/>
      <c r="G117" s="2" t="str">
        <f t="shared" si="2"/>
        <v/>
      </c>
    </row>
    <row r="118" spans="1:9" x14ac:dyDescent="0.25">
      <c r="A118" s="33" t="s">
        <v>120</v>
      </c>
      <c r="B118" s="34" t="s">
        <v>121</v>
      </c>
      <c r="C118" s="46"/>
      <c r="D118" s="8">
        <v>3000</v>
      </c>
      <c r="E118" s="47"/>
      <c r="F118" s="36">
        <v>3500</v>
      </c>
      <c r="G118" s="2">
        <f t="shared" si="2"/>
        <v>500</v>
      </c>
    </row>
    <row r="119" spans="1:9" x14ac:dyDescent="0.25">
      <c r="A119" s="45"/>
      <c r="B119" s="63"/>
      <c r="C119" s="46"/>
      <c r="D119" s="40"/>
      <c r="E119" s="47"/>
      <c r="F119" s="11"/>
      <c r="G119" s="2" t="str">
        <f t="shared" si="2"/>
        <v/>
      </c>
    </row>
    <row r="120" spans="1:9" x14ac:dyDescent="0.25">
      <c r="A120" s="33" t="s">
        <v>122</v>
      </c>
      <c r="B120" s="34" t="s">
        <v>123</v>
      </c>
      <c r="C120" s="46"/>
      <c r="D120" s="8">
        <f>SUM(C121:C123)</f>
        <v>20912.12</v>
      </c>
      <c r="E120" s="47"/>
      <c r="F120" s="36">
        <f>SUM(E121:E124)</f>
        <v>22500</v>
      </c>
      <c r="G120" s="2">
        <f t="shared" si="2"/>
        <v>1587.880000000001</v>
      </c>
    </row>
    <row r="121" spans="1:9" x14ac:dyDescent="0.25">
      <c r="A121" s="273" t="s">
        <v>124</v>
      </c>
      <c r="B121" s="239" t="s">
        <v>365</v>
      </c>
      <c r="C121" s="46">
        <v>15000</v>
      </c>
      <c r="D121" s="40"/>
      <c r="E121" s="47">
        <v>15000</v>
      </c>
      <c r="F121" s="11"/>
      <c r="G121" s="2" t="str">
        <f t="shared" si="2"/>
        <v xml:space="preserve"> 0,00 €</v>
      </c>
      <c r="H121" s="238" t="s">
        <v>367</v>
      </c>
    </row>
    <row r="122" spans="1:9" x14ac:dyDescent="0.25">
      <c r="A122" s="273" t="s">
        <v>125</v>
      </c>
      <c r="B122" s="233" t="s">
        <v>126</v>
      </c>
      <c r="C122" s="87">
        <f>1353.03*4</f>
        <v>5412.12</v>
      </c>
      <c r="D122" s="40"/>
      <c r="E122" s="88">
        <v>5500</v>
      </c>
      <c r="F122" s="11"/>
      <c r="G122" s="2" t="str">
        <f t="shared" si="2"/>
        <v>87,88 €</v>
      </c>
      <c r="H122" s="212" t="s">
        <v>366</v>
      </c>
      <c r="I122" s="89" t="s">
        <v>127</v>
      </c>
    </row>
    <row r="123" spans="1:9" x14ac:dyDescent="0.25">
      <c r="A123" s="273" t="s">
        <v>128</v>
      </c>
      <c r="B123" s="241" t="s">
        <v>129</v>
      </c>
      <c r="C123" s="87">
        <v>500</v>
      </c>
      <c r="D123" s="40"/>
      <c r="E123" s="88">
        <v>500</v>
      </c>
      <c r="F123" s="11"/>
      <c r="G123" s="2" t="str">
        <f t="shared" si="2"/>
        <v xml:space="preserve"> 0,00 €</v>
      </c>
    </row>
    <row r="124" spans="1:9" x14ac:dyDescent="0.25">
      <c r="A124" s="273" t="s">
        <v>130</v>
      </c>
      <c r="B124" s="239" t="s">
        <v>364</v>
      </c>
      <c r="C124" s="90"/>
      <c r="D124" s="40"/>
      <c r="E124" s="88">
        <v>1500</v>
      </c>
      <c r="F124" s="11"/>
      <c r="G124" s="2" t="str">
        <f t="shared" si="2"/>
        <v>1.500,00 €</v>
      </c>
      <c r="H124" s="212" t="s">
        <v>368</v>
      </c>
    </row>
    <row r="125" spans="1:9" x14ac:dyDescent="0.25">
      <c r="A125" s="45"/>
      <c r="B125" s="38"/>
      <c r="C125" s="8"/>
      <c r="D125" s="40"/>
      <c r="E125" s="35"/>
      <c r="F125" s="11"/>
      <c r="G125" s="2" t="str">
        <f t="shared" si="2"/>
        <v/>
      </c>
    </row>
    <row r="126" spans="1:9" x14ac:dyDescent="0.25">
      <c r="A126" s="33" t="s">
        <v>131</v>
      </c>
      <c r="B126" s="240" t="s">
        <v>132</v>
      </c>
      <c r="C126" s="8"/>
      <c r="D126" s="8">
        <v>500</v>
      </c>
      <c r="E126" s="35"/>
      <c r="F126" s="36">
        <v>500</v>
      </c>
      <c r="G126" s="2">
        <f t="shared" si="2"/>
        <v>0</v>
      </c>
      <c r="H126" s="212" t="s">
        <v>362</v>
      </c>
    </row>
    <row r="127" spans="1:9" s="63" customFormat="1" x14ac:dyDescent="0.25">
      <c r="A127" s="45"/>
      <c r="B127" s="108"/>
      <c r="C127" s="8"/>
      <c r="D127" s="8"/>
      <c r="E127" s="35"/>
      <c r="F127" s="36"/>
      <c r="G127" s="2" t="str">
        <f t="shared" si="2"/>
        <v/>
      </c>
    </row>
    <row r="128" spans="1:9" s="63" customFormat="1" x14ac:dyDescent="0.25">
      <c r="A128" s="237" t="s">
        <v>340</v>
      </c>
      <c r="B128" s="234" t="s">
        <v>399</v>
      </c>
      <c r="C128" s="8"/>
      <c r="D128" s="8">
        <f>SUM(C129:C131)</f>
        <v>100</v>
      </c>
      <c r="E128" s="35"/>
      <c r="F128" s="36">
        <f>SUM(E129:E131)</f>
        <v>400100</v>
      </c>
      <c r="G128" s="2">
        <f t="shared" si="2"/>
        <v>400000</v>
      </c>
      <c r="H128" s="212" t="s">
        <v>363</v>
      </c>
    </row>
    <row r="129" spans="1:10" s="63" customFormat="1" x14ac:dyDescent="0.25">
      <c r="A129" s="248" t="s">
        <v>351</v>
      </c>
      <c r="B129" s="242" t="s">
        <v>196</v>
      </c>
      <c r="C129" s="207">
        <v>0</v>
      </c>
      <c r="D129" s="207"/>
      <c r="E129" s="209">
        <v>0</v>
      </c>
      <c r="F129" s="36"/>
      <c r="G129" s="2" t="str">
        <f t="shared" si="2"/>
        <v xml:space="preserve"> 0,00 €</v>
      </c>
    </row>
    <row r="130" spans="1:10" s="63" customFormat="1" x14ac:dyDescent="0.25">
      <c r="A130" s="248" t="s">
        <v>352</v>
      </c>
      <c r="B130" s="243" t="s">
        <v>197</v>
      </c>
      <c r="C130" s="207">
        <v>100</v>
      </c>
      <c r="D130" s="207"/>
      <c r="E130" s="209">
        <f>20*2.5*2</f>
        <v>100</v>
      </c>
      <c r="F130" s="36"/>
      <c r="G130" s="2" t="str">
        <f t="shared" si="2"/>
        <v xml:space="preserve"> 0,00 €</v>
      </c>
      <c r="H130" s="212"/>
    </row>
    <row r="131" spans="1:10" s="63" customFormat="1" x14ac:dyDescent="0.25">
      <c r="A131" s="248" t="s">
        <v>353</v>
      </c>
      <c r="B131" s="243" t="s">
        <v>57</v>
      </c>
      <c r="C131" s="207">
        <v>0</v>
      </c>
      <c r="D131" s="207"/>
      <c r="E131" s="209">
        <v>400000</v>
      </c>
      <c r="F131" s="36"/>
      <c r="G131" s="2" t="str">
        <f t="shared" si="2"/>
        <v>400.000,00 €</v>
      </c>
      <c r="J131" s="210"/>
    </row>
    <row r="132" spans="1:10" s="63" customFormat="1" x14ac:dyDescent="0.25">
      <c r="A132" s="45"/>
      <c r="B132" s="108"/>
      <c r="C132" s="8"/>
      <c r="D132" s="8"/>
      <c r="E132" s="35"/>
      <c r="F132" s="36"/>
      <c r="G132" s="2" t="str">
        <f t="shared" si="2"/>
        <v/>
      </c>
    </row>
    <row r="133" spans="1:10" s="63" customFormat="1" x14ac:dyDescent="0.25">
      <c r="A133" s="237" t="s">
        <v>341</v>
      </c>
      <c r="B133" s="234" t="s">
        <v>342</v>
      </c>
      <c r="C133" s="8"/>
      <c r="D133" s="8">
        <f>SUM(C134:C136)</f>
        <v>1256170</v>
      </c>
      <c r="E133" s="35"/>
      <c r="F133" s="36">
        <f>SUM(E134:E136)</f>
        <v>291890</v>
      </c>
      <c r="G133" s="2">
        <f t="shared" si="2"/>
        <v>-964280</v>
      </c>
      <c r="H133" s="212" t="s">
        <v>363</v>
      </c>
    </row>
    <row r="134" spans="1:10" s="63" customFormat="1" x14ac:dyDescent="0.25">
      <c r="A134" s="248" t="s">
        <v>346</v>
      </c>
      <c r="B134" s="242" t="s">
        <v>53</v>
      </c>
      <c r="C134" s="207">
        <v>970750</v>
      </c>
      <c r="D134" s="8"/>
      <c r="E134" s="209">
        <v>0</v>
      </c>
      <c r="F134" s="36"/>
      <c r="G134" s="258" t="str">
        <f t="shared" si="2"/>
        <v xml:space="preserve"> -970.750,00 €</v>
      </c>
    </row>
    <row r="135" spans="1:10" s="63" customFormat="1" x14ac:dyDescent="0.25">
      <c r="A135" s="248" t="s">
        <v>347</v>
      </c>
      <c r="B135" s="243" t="s">
        <v>55</v>
      </c>
      <c r="C135" s="207">
        <f>2.5*28400+2.55*28400</f>
        <v>143420</v>
      </c>
      <c r="D135" s="8"/>
      <c r="E135" s="209">
        <f>2.55*2*28900</f>
        <v>147390</v>
      </c>
      <c r="F135" s="36"/>
      <c r="G135" s="2" t="str">
        <f t="shared" si="2"/>
        <v>3.970,00 €</v>
      </c>
    </row>
    <row r="136" spans="1:10" s="63" customFormat="1" x14ac:dyDescent="0.25">
      <c r="A136" s="248" t="s">
        <v>348</v>
      </c>
      <c r="B136" s="243" t="s">
        <v>59</v>
      </c>
      <c r="C136" s="207">
        <f>28400*2*2.5</f>
        <v>142000</v>
      </c>
      <c r="D136" s="8"/>
      <c r="E136" s="209">
        <f>28900*2*2.5</f>
        <v>144500</v>
      </c>
      <c r="F136" s="36"/>
      <c r="G136" s="2" t="str">
        <f t="shared" si="2"/>
        <v>2.500,00 €</v>
      </c>
    </row>
    <row r="137" spans="1:10" s="63" customFormat="1" x14ac:dyDescent="0.25">
      <c r="A137" s="45"/>
      <c r="B137" s="108"/>
      <c r="C137" s="8"/>
      <c r="D137" s="8"/>
      <c r="E137" s="35"/>
      <c r="F137" s="36"/>
      <c r="G137" s="2" t="str">
        <f t="shared" si="2"/>
        <v/>
      </c>
    </row>
    <row r="138" spans="1:10" s="19" customFormat="1" x14ac:dyDescent="0.25">
      <c r="A138" s="33" t="s">
        <v>133</v>
      </c>
      <c r="B138" s="240" t="s">
        <v>134</v>
      </c>
      <c r="C138" s="8"/>
      <c r="D138" s="8">
        <v>17000</v>
      </c>
      <c r="E138" s="35"/>
      <c r="F138" s="36">
        <v>7500</v>
      </c>
      <c r="G138" s="2">
        <f t="shared" si="2"/>
        <v>-9500</v>
      </c>
      <c r="H138" s="212" t="s">
        <v>362</v>
      </c>
    </row>
    <row r="139" spans="1:10" x14ac:dyDescent="0.25">
      <c r="A139" s="45"/>
      <c r="B139" s="38"/>
      <c r="C139" s="8"/>
      <c r="D139" s="40"/>
      <c r="E139" s="35"/>
      <c r="F139" s="11"/>
      <c r="G139" s="2" t="str">
        <f t="shared" si="2"/>
        <v/>
      </c>
    </row>
    <row r="140" spans="1:10" ht="15.75" thickBot="1" x14ac:dyDescent="0.3">
      <c r="A140" s="48" t="s">
        <v>135</v>
      </c>
      <c r="B140" s="16" t="s">
        <v>93</v>
      </c>
      <c r="C140" s="49"/>
      <c r="D140" s="85">
        <f>SUM(D101:D139)</f>
        <v>1365082.12</v>
      </c>
      <c r="E140" s="50"/>
      <c r="F140" s="86">
        <f>SUM(F101:F139)</f>
        <v>789540</v>
      </c>
      <c r="G140" s="2">
        <f t="shared" si="2"/>
        <v>-575542.12000000011</v>
      </c>
      <c r="H140" s="19"/>
    </row>
    <row r="141" spans="1:10" ht="15.75" thickBot="1" x14ac:dyDescent="0.3">
      <c r="A141" s="52"/>
      <c r="B141" s="19"/>
      <c r="C141" s="22"/>
      <c r="D141" s="23"/>
      <c r="E141" s="24"/>
      <c r="F141" s="25"/>
      <c r="G141" s="2" t="str">
        <f t="shared" si="2"/>
        <v/>
      </c>
    </row>
    <row r="142" spans="1:10" x14ac:dyDescent="0.25">
      <c r="A142" s="27" t="s">
        <v>136</v>
      </c>
      <c r="B142" s="28" t="s">
        <v>137</v>
      </c>
      <c r="C142" s="29"/>
      <c r="D142" s="66"/>
      <c r="E142" s="67"/>
      <c r="F142" s="32"/>
      <c r="G142" s="2" t="str">
        <f t="shared" si="2"/>
        <v/>
      </c>
    </row>
    <row r="143" spans="1:10" x14ac:dyDescent="0.25">
      <c r="A143" s="33" t="s">
        <v>138</v>
      </c>
      <c r="B143" s="34" t="s">
        <v>139</v>
      </c>
      <c r="C143" s="8"/>
      <c r="D143" s="71">
        <f>SUM(C144:C146)</f>
        <v>313500</v>
      </c>
      <c r="E143" s="10"/>
      <c r="F143" s="36">
        <f>SUM(E144:E146)</f>
        <v>324960</v>
      </c>
      <c r="G143" s="2">
        <f t="shared" si="2"/>
        <v>11460</v>
      </c>
    </row>
    <row r="144" spans="1:10" x14ac:dyDescent="0.25">
      <c r="A144" s="273" t="s">
        <v>140</v>
      </c>
      <c r="B144" s="211" t="s">
        <v>400</v>
      </c>
      <c r="C144" s="46">
        <f>C10</f>
        <v>224100</v>
      </c>
      <c r="D144" s="9"/>
      <c r="E144" s="91">
        <f>E10</f>
        <v>225000</v>
      </c>
      <c r="F144" s="11"/>
      <c r="G144" s="2" t="str">
        <f t="shared" si="2"/>
        <v>900,00 €</v>
      </c>
    </row>
    <row r="145" spans="1:8" x14ac:dyDescent="0.25">
      <c r="A145" s="273" t="s">
        <v>141</v>
      </c>
      <c r="B145" s="211" t="s">
        <v>401</v>
      </c>
      <c r="C145" s="46">
        <f>C14</f>
        <v>57399.999999999993</v>
      </c>
      <c r="D145" s="9"/>
      <c r="E145" s="91">
        <f>E14</f>
        <v>63959.999999999993</v>
      </c>
      <c r="F145" s="11"/>
      <c r="G145" s="2" t="str">
        <f t="shared" si="2"/>
        <v>6.560,00 €</v>
      </c>
    </row>
    <row r="146" spans="1:8" x14ac:dyDescent="0.25">
      <c r="A146" s="273" t="s">
        <v>142</v>
      </c>
      <c r="B146" s="38" t="s">
        <v>143</v>
      </c>
      <c r="C146" s="46">
        <v>32000</v>
      </c>
      <c r="D146" s="9"/>
      <c r="E146" s="91">
        <v>36000</v>
      </c>
      <c r="F146" s="11"/>
      <c r="G146" s="2" t="str">
        <f t="shared" si="2"/>
        <v>4.000,00 €</v>
      </c>
    </row>
    <row r="147" spans="1:8" x14ac:dyDescent="0.25">
      <c r="A147" s="45"/>
      <c r="C147" s="46"/>
      <c r="D147" s="9"/>
      <c r="E147" s="91"/>
      <c r="F147" s="11"/>
      <c r="G147" s="2" t="str">
        <f t="shared" si="2"/>
        <v/>
      </c>
    </row>
    <row r="148" spans="1:8" x14ac:dyDescent="0.25">
      <c r="A148" s="33" t="s">
        <v>144</v>
      </c>
      <c r="B148" s="34" t="s">
        <v>145</v>
      </c>
      <c r="C148" s="46"/>
      <c r="D148" s="71">
        <f>SUM(C149:C152)</f>
        <v>198000</v>
      </c>
      <c r="E148" s="91"/>
      <c r="F148" s="36">
        <f>SUM(E149:E152)</f>
        <v>100000</v>
      </c>
      <c r="G148" s="2">
        <f t="shared" si="2"/>
        <v>-98000</v>
      </c>
    </row>
    <row r="149" spans="1:8" x14ac:dyDescent="0.25">
      <c r="A149" s="273" t="s">
        <v>146</v>
      </c>
      <c r="B149" s="233" t="s">
        <v>147</v>
      </c>
      <c r="C149" s="46">
        <v>75000</v>
      </c>
      <c r="D149" s="9"/>
      <c r="E149" s="91">
        <v>70000</v>
      </c>
      <c r="F149" s="11"/>
      <c r="G149" s="258" t="str">
        <f t="shared" si="2"/>
        <v xml:space="preserve"> -5.000,00 €</v>
      </c>
      <c r="H149" s="212" t="s">
        <v>360</v>
      </c>
    </row>
    <row r="150" spans="1:8" x14ac:dyDescent="0.25">
      <c r="A150" s="273" t="s">
        <v>148</v>
      </c>
      <c r="B150" s="38" t="s">
        <v>149</v>
      </c>
      <c r="C150" s="46">
        <v>5000</v>
      </c>
      <c r="D150" s="9"/>
      <c r="E150" s="91">
        <v>5000</v>
      </c>
      <c r="F150" s="11"/>
      <c r="G150" s="2" t="str">
        <f t="shared" si="2"/>
        <v xml:space="preserve"> 0,00 €</v>
      </c>
    </row>
    <row r="151" spans="1:8" x14ac:dyDescent="0.25">
      <c r="A151" s="273" t="s">
        <v>150</v>
      </c>
      <c r="B151" s="38" t="s">
        <v>151</v>
      </c>
      <c r="C151" s="46">
        <v>68000</v>
      </c>
      <c r="D151" s="9"/>
      <c r="E151" s="91">
        <v>20000</v>
      </c>
      <c r="F151" s="11"/>
      <c r="G151" s="258" t="str">
        <f t="shared" si="2"/>
        <v xml:space="preserve"> -48.000,00 €</v>
      </c>
    </row>
    <row r="152" spans="1:8" x14ac:dyDescent="0.25">
      <c r="A152" s="273" t="s">
        <v>152</v>
      </c>
      <c r="B152" s="38" t="s">
        <v>153</v>
      </c>
      <c r="C152" s="46">
        <v>50000</v>
      </c>
      <c r="D152" s="9"/>
      <c r="E152" s="91">
        <v>5000</v>
      </c>
      <c r="F152" s="11"/>
      <c r="G152" s="258" t="str">
        <f t="shared" si="2"/>
        <v xml:space="preserve"> -45.000,00 €</v>
      </c>
    </row>
    <row r="153" spans="1:8" x14ac:dyDescent="0.25">
      <c r="A153" s="45"/>
      <c r="C153" s="46"/>
      <c r="D153" s="9"/>
      <c r="E153" s="91"/>
      <c r="F153" s="11"/>
      <c r="G153" s="2" t="str">
        <f t="shared" si="2"/>
        <v/>
      </c>
    </row>
    <row r="154" spans="1:8" x14ac:dyDescent="0.25">
      <c r="A154" s="33" t="s">
        <v>154</v>
      </c>
      <c r="B154" s="34" t="s">
        <v>155</v>
      </c>
      <c r="C154" s="46"/>
      <c r="D154" s="71">
        <f>SUM(C155:C158)</f>
        <v>61500</v>
      </c>
      <c r="E154" s="91"/>
      <c r="F154" s="36">
        <f>SUM(E155:E158)</f>
        <v>63300</v>
      </c>
      <c r="G154" s="2">
        <f t="shared" si="2"/>
        <v>1800</v>
      </c>
      <c r="H154" t="s">
        <v>158</v>
      </c>
    </row>
    <row r="155" spans="1:8" x14ac:dyDescent="0.25">
      <c r="A155" s="273" t="s">
        <v>156</v>
      </c>
      <c r="B155" s="38" t="s">
        <v>157</v>
      </c>
      <c r="C155" s="46">
        <v>36500</v>
      </c>
      <c r="D155" s="9"/>
      <c r="E155" s="91">
        <v>37000</v>
      </c>
      <c r="F155" s="11"/>
      <c r="G155" s="2" t="str">
        <f t="shared" si="2"/>
        <v>500,00 €</v>
      </c>
    </row>
    <row r="156" spans="1:8" x14ac:dyDescent="0.25">
      <c r="A156" s="273" t="s">
        <v>159</v>
      </c>
      <c r="B156" s="38" t="s">
        <v>160</v>
      </c>
      <c r="C156" s="46">
        <v>10000</v>
      </c>
      <c r="D156" s="9"/>
      <c r="E156" s="91">
        <v>10800</v>
      </c>
      <c r="F156" s="11"/>
      <c r="G156" s="2" t="str">
        <f t="shared" si="2"/>
        <v>800,00 €</v>
      </c>
    </row>
    <row r="157" spans="1:8" x14ac:dyDescent="0.25">
      <c r="A157" s="273" t="s">
        <v>161</v>
      </c>
      <c r="B157" s="38" t="s">
        <v>162</v>
      </c>
      <c r="C157" s="46">
        <v>9500</v>
      </c>
      <c r="D157" s="9"/>
      <c r="E157" s="91">
        <v>10000</v>
      </c>
      <c r="F157" s="11"/>
      <c r="G157" s="2" t="str">
        <f t="shared" si="2"/>
        <v>500,00 €</v>
      </c>
    </row>
    <row r="158" spans="1:8" x14ac:dyDescent="0.25">
      <c r="A158" s="273" t="s">
        <v>163</v>
      </c>
      <c r="B158" s="38" t="s">
        <v>164</v>
      </c>
      <c r="C158" s="46">
        <v>5500</v>
      </c>
      <c r="D158" s="9"/>
      <c r="E158" s="91">
        <v>5500</v>
      </c>
      <c r="F158" s="11"/>
      <c r="G158" s="2" t="str">
        <f t="shared" si="2"/>
        <v xml:space="preserve"> 0,00 €</v>
      </c>
    </row>
    <row r="159" spans="1:8" x14ac:dyDescent="0.25">
      <c r="A159" s="45"/>
      <c r="C159" s="46"/>
      <c r="D159" s="9"/>
      <c r="E159" s="91"/>
      <c r="F159" s="11"/>
      <c r="G159" s="2" t="str">
        <f t="shared" si="2"/>
        <v/>
      </c>
      <c r="H159" s="115"/>
    </row>
    <row r="160" spans="1:8" x14ac:dyDescent="0.25">
      <c r="A160" s="33" t="s">
        <v>165</v>
      </c>
      <c r="B160" s="34" t="s">
        <v>166</v>
      </c>
      <c r="C160" s="46"/>
      <c r="D160" s="71">
        <f>C161</f>
        <v>25000</v>
      </c>
      <c r="E160" s="91"/>
      <c r="F160" s="36">
        <f>E161</f>
        <v>25000</v>
      </c>
      <c r="G160" s="2">
        <f t="shared" si="2"/>
        <v>0</v>
      </c>
      <c r="H160" s="115"/>
    </row>
    <row r="161" spans="1:9" x14ac:dyDescent="0.25">
      <c r="A161" s="273" t="s">
        <v>167</v>
      </c>
      <c r="B161" s="38" t="s">
        <v>168</v>
      </c>
      <c r="C161" s="46">
        <v>25000</v>
      </c>
      <c r="D161" s="9"/>
      <c r="E161" s="91">
        <v>25000</v>
      </c>
      <c r="F161" s="11"/>
      <c r="G161" s="2" t="str">
        <f t="shared" ref="G161:G200" si="3">IF(AND(E161="",F161=""),"",IF(E161="",SUM(E161:F161)-SUM(C161:D161),TEXT(SUM(E161:F161)-SUM(C161:D161),"#.###,00 €* ; -#.###,00 €* ; 0,00 €* ;* @")))</f>
        <v xml:space="preserve"> 0,00 €</v>
      </c>
      <c r="H161" s="115"/>
    </row>
    <row r="162" spans="1:9" x14ac:dyDescent="0.25">
      <c r="A162" s="45"/>
      <c r="B162" s="63"/>
      <c r="C162" s="46"/>
      <c r="D162" s="9"/>
      <c r="E162" s="91"/>
      <c r="F162" s="11"/>
      <c r="G162" s="2" t="str">
        <f t="shared" si="3"/>
        <v/>
      </c>
      <c r="H162" s="115"/>
    </row>
    <row r="163" spans="1:9" x14ac:dyDescent="0.25">
      <c r="A163" s="33" t="s">
        <v>169</v>
      </c>
      <c r="B163" s="34" t="s">
        <v>170</v>
      </c>
      <c r="C163" s="46"/>
      <c r="D163" s="71">
        <f>C164</f>
        <v>50000</v>
      </c>
      <c r="E163" s="91"/>
      <c r="F163" s="36">
        <f>SUM(E164:E165)</f>
        <v>25000</v>
      </c>
      <c r="G163" s="2">
        <f t="shared" si="3"/>
        <v>-25000</v>
      </c>
      <c r="H163" s="115"/>
      <c r="I163" s="115"/>
    </row>
    <row r="164" spans="1:9" x14ac:dyDescent="0.25">
      <c r="A164" s="273" t="s">
        <v>171</v>
      </c>
      <c r="B164" s="233" t="s">
        <v>172</v>
      </c>
      <c r="C164" s="46">
        <v>50000</v>
      </c>
      <c r="D164" s="9"/>
      <c r="E164" s="91">
        <v>25000</v>
      </c>
      <c r="F164" s="11"/>
      <c r="G164" s="258" t="str">
        <f t="shared" si="3"/>
        <v xml:space="preserve"> -25.000,00 €</v>
      </c>
      <c r="H164" s="244" t="s">
        <v>369</v>
      </c>
      <c r="I164" s="115"/>
    </row>
    <row r="165" spans="1:9" s="19" customFormat="1" x14ac:dyDescent="0.25">
      <c r="A165" s="273" t="s">
        <v>173</v>
      </c>
      <c r="B165" s="38" t="s">
        <v>174</v>
      </c>
      <c r="C165" s="8"/>
      <c r="D165" s="9"/>
      <c r="E165" s="91">
        <v>0</v>
      </c>
      <c r="F165" s="11"/>
      <c r="G165" s="2" t="str">
        <f t="shared" si="3"/>
        <v xml:space="preserve"> 0,00 €</v>
      </c>
      <c r="H165" s="115"/>
      <c r="I165" s="115"/>
    </row>
    <row r="166" spans="1:9" x14ac:dyDescent="0.25">
      <c r="A166" s="45"/>
      <c r="C166" s="8"/>
      <c r="D166" s="9"/>
      <c r="E166" s="10"/>
      <c r="F166" s="11"/>
      <c r="G166" s="2" t="str">
        <f t="shared" si="3"/>
        <v/>
      </c>
      <c r="H166" s="115"/>
      <c r="I166" s="115"/>
    </row>
    <row r="167" spans="1:9" ht="15.75" thickBot="1" x14ac:dyDescent="0.3">
      <c r="A167" s="48" t="s">
        <v>175</v>
      </c>
      <c r="B167" s="16" t="s">
        <v>137</v>
      </c>
      <c r="C167" s="49"/>
      <c r="D167" s="86">
        <f>SUM(D143:D166)</f>
        <v>648000</v>
      </c>
      <c r="E167" s="49"/>
      <c r="F167" s="86">
        <f>SUM(F143:F166)</f>
        <v>538260</v>
      </c>
      <c r="G167" s="2">
        <f t="shared" si="3"/>
        <v>-109740</v>
      </c>
      <c r="H167" s="115"/>
      <c r="I167" s="115"/>
    </row>
    <row r="168" spans="1:9" ht="15.75" thickBot="1" x14ac:dyDescent="0.3">
      <c r="A168" s="52"/>
      <c r="B168" s="19"/>
      <c r="C168" s="22"/>
      <c r="D168" s="23"/>
      <c r="E168" s="24"/>
      <c r="F168" s="25"/>
      <c r="G168" s="2" t="str">
        <f t="shared" si="3"/>
        <v/>
      </c>
      <c r="H168" s="115"/>
      <c r="I168" s="115"/>
    </row>
    <row r="169" spans="1:9" x14ac:dyDescent="0.25">
      <c r="A169" s="27" t="s">
        <v>176</v>
      </c>
      <c r="B169" s="28" t="s">
        <v>177</v>
      </c>
      <c r="C169" s="29"/>
      <c r="D169" s="30"/>
      <c r="E169" s="31"/>
      <c r="F169" s="32"/>
      <c r="G169" s="2" t="str">
        <f t="shared" si="3"/>
        <v/>
      </c>
      <c r="H169" s="115"/>
      <c r="I169" s="115"/>
    </row>
    <row r="170" spans="1:9" x14ac:dyDescent="0.25">
      <c r="A170" s="33" t="s">
        <v>178</v>
      </c>
      <c r="B170" s="240" t="s">
        <v>179</v>
      </c>
      <c r="C170" s="8"/>
      <c r="D170" s="8">
        <v>4000</v>
      </c>
      <c r="E170" s="35"/>
      <c r="F170" s="36">
        <v>5000</v>
      </c>
      <c r="G170" s="2">
        <f t="shared" si="3"/>
        <v>1000</v>
      </c>
      <c r="H170" s="244" t="s">
        <v>370</v>
      </c>
      <c r="I170" s="115"/>
    </row>
    <row r="171" spans="1:9" x14ac:dyDescent="0.25">
      <c r="A171" s="33" t="s">
        <v>180</v>
      </c>
      <c r="B171" s="240" t="s">
        <v>29</v>
      </c>
      <c r="C171" s="8"/>
      <c r="D171" s="8">
        <v>900</v>
      </c>
      <c r="E171" s="35"/>
      <c r="F171" s="36">
        <v>1000</v>
      </c>
      <c r="G171" s="2">
        <f t="shared" si="3"/>
        <v>100</v>
      </c>
      <c r="H171" s="244" t="s">
        <v>370</v>
      </c>
      <c r="I171" s="115"/>
    </row>
    <row r="172" spans="1:9" x14ac:dyDescent="0.25">
      <c r="A172" s="33" t="s">
        <v>181</v>
      </c>
      <c r="B172" s="240" t="s">
        <v>182</v>
      </c>
      <c r="C172" s="8"/>
      <c r="D172" s="8">
        <v>2000</v>
      </c>
      <c r="E172" s="35"/>
      <c r="F172" s="36">
        <v>1000</v>
      </c>
      <c r="G172" s="2">
        <f t="shared" si="3"/>
        <v>-1000</v>
      </c>
      <c r="H172" s="244" t="s">
        <v>370</v>
      </c>
      <c r="I172" s="115"/>
    </row>
    <row r="173" spans="1:9" x14ac:dyDescent="0.25">
      <c r="A173" s="33" t="s">
        <v>183</v>
      </c>
      <c r="B173" s="34" t="s">
        <v>184</v>
      </c>
      <c r="C173" s="8"/>
      <c r="D173" s="8">
        <v>0</v>
      </c>
      <c r="E173" s="35"/>
      <c r="F173" s="36">
        <v>0</v>
      </c>
      <c r="G173" s="2">
        <f t="shared" si="3"/>
        <v>0</v>
      </c>
      <c r="H173" s="115"/>
      <c r="I173" s="115"/>
    </row>
    <row r="174" spans="1:9" x14ac:dyDescent="0.25">
      <c r="A174" s="33" t="s">
        <v>185</v>
      </c>
      <c r="B174" s="34" t="s">
        <v>186</v>
      </c>
      <c r="C174" s="8"/>
      <c r="D174" s="8">
        <v>18000</v>
      </c>
      <c r="E174" s="35"/>
      <c r="F174" s="36">
        <v>12500</v>
      </c>
      <c r="G174" s="2">
        <f t="shared" si="3"/>
        <v>-5500</v>
      </c>
      <c r="H174" s="115" t="s">
        <v>187</v>
      </c>
      <c r="I174" s="115"/>
    </row>
    <row r="175" spans="1:9" x14ac:dyDescent="0.25">
      <c r="A175" s="33" t="s">
        <v>188</v>
      </c>
      <c r="B175" s="34" t="s">
        <v>189</v>
      </c>
      <c r="C175" s="8"/>
      <c r="D175" s="8">
        <v>2100</v>
      </c>
      <c r="E175" s="35"/>
      <c r="F175" s="36">
        <v>9000</v>
      </c>
      <c r="G175" s="2">
        <f t="shared" si="3"/>
        <v>6900</v>
      </c>
      <c r="H175" s="115"/>
      <c r="I175" s="115"/>
    </row>
    <row r="176" spans="1:9" s="19" customFormat="1" x14ac:dyDescent="0.25">
      <c r="A176" s="274" t="s">
        <v>190</v>
      </c>
      <c r="B176" s="92" t="s">
        <v>191</v>
      </c>
      <c r="C176" s="8"/>
      <c r="D176" s="8">
        <v>0</v>
      </c>
      <c r="E176" s="35"/>
      <c r="F176" s="36">
        <v>4000</v>
      </c>
      <c r="G176" s="2">
        <f t="shared" si="3"/>
        <v>4000</v>
      </c>
      <c r="H176" s="115"/>
      <c r="I176" s="115"/>
    </row>
    <row r="177" spans="1:9" x14ac:dyDescent="0.25">
      <c r="A177" s="33" t="s">
        <v>192</v>
      </c>
      <c r="B177" s="34" t="s">
        <v>193</v>
      </c>
      <c r="C177" s="8"/>
      <c r="D177" s="8">
        <v>60000</v>
      </c>
      <c r="E177" s="35"/>
      <c r="F177" s="36">
        <v>0</v>
      </c>
      <c r="G177" s="2">
        <f t="shared" si="3"/>
        <v>-60000</v>
      </c>
      <c r="H177" s="115"/>
      <c r="I177" s="115"/>
    </row>
    <row r="178" spans="1:9" x14ac:dyDescent="0.25">
      <c r="A178" s="33"/>
      <c r="B178" s="34" t="s">
        <v>194</v>
      </c>
      <c r="C178" s="8"/>
      <c r="D178" s="8">
        <v>100000</v>
      </c>
      <c r="E178" s="35"/>
      <c r="F178" s="36"/>
      <c r="G178" s="2" t="str">
        <f t="shared" si="3"/>
        <v/>
      </c>
      <c r="H178" s="115"/>
      <c r="I178" s="115"/>
    </row>
    <row r="179" spans="1:9" s="63" customFormat="1" x14ac:dyDescent="0.25">
      <c r="A179" s="45"/>
      <c r="B179" s="108"/>
      <c r="C179" s="8"/>
      <c r="D179" s="8"/>
      <c r="E179" s="35"/>
      <c r="F179" s="36"/>
      <c r="G179" s="2" t="str">
        <f t="shared" si="3"/>
        <v/>
      </c>
      <c r="H179" s="115"/>
      <c r="I179" s="115"/>
    </row>
    <row r="180" spans="1:9" ht="15.75" thickBot="1" x14ac:dyDescent="0.3">
      <c r="A180" s="48" t="s">
        <v>195</v>
      </c>
      <c r="B180" s="16" t="s">
        <v>177</v>
      </c>
      <c r="C180" s="49"/>
      <c r="D180" s="49">
        <f>SUM(D170:D178)</f>
        <v>187000</v>
      </c>
      <c r="E180" s="50"/>
      <c r="F180" s="51">
        <f>SUM(F170:F178)</f>
        <v>32500</v>
      </c>
      <c r="G180" s="2">
        <f t="shared" si="3"/>
        <v>-154500</v>
      </c>
      <c r="H180" s="115"/>
      <c r="I180" s="115"/>
    </row>
    <row r="181" spans="1:9" ht="15.75" thickBot="1" x14ac:dyDescent="0.3">
      <c r="A181" s="52"/>
      <c r="B181" s="19"/>
      <c r="C181" s="22"/>
      <c r="D181" s="23"/>
      <c r="E181" s="24"/>
      <c r="F181" s="25"/>
      <c r="G181" s="2" t="str">
        <f t="shared" si="3"/>
        <v/>
      </c>
      <c r="H181" s="115"/>
      <c r="I181" s="115"/>
    </row>
    <row r="182" spans="1:9" x14ac:dyDescent="0.25">
      <c r="A182" s="213" t="s">
        <v>354</v>
      </c>
      <c r="B182" s="215" t="s">
        <v>356</v>
      </c>
      <c r="C182" s="29"/>
      <c r="D182" s="30"/>
      <c r="E182" s="31"/>
      <c r="F182" s="32"/>
      <c r="G182" s="2" t="str">
        <f t="shared" si="3"/>
        <v/>
      </c>
      <c r="H182" s="115"/>
      <c r="I182" s="115"/>
    </row>
    <row r="183" spans="1:9" x14ac:dyDescent="0.25">
      <c r="A183" s="237" t="s">
        <v>361</v>
      </c>
      <c r="B183" s="246" t="s">
        <v>372</v>
      </c>
      <c r="C183" s="8"/>
      <c r="D183" s="8">
        <f>SUM(C184:C185)</f>
        <v>67390</v>
      </c>
      <c r="E183" s="35"/>
      <c r="F183" s="36">
        <f>SUM(E184:E185)</f>
        <v>177990</v>
      </c>
      <c r="G183" s="2">
        <f t="shared" si="3"/>
        <v>110600</v>
      </c>
      <c r="H183" s="244" t="s">
        <v>378</v>
      </c>
      <c r="I183" s="115"/>
    </row>
    <row r="184" spans="1:9" s="63" customFormat="1" x14ac:dyDescent="0.25">
      <c r="A184" s="248" t="s">
        <v>52</v>
      </c>
      <c r="B184" s="243" t="s">
        <v>392</v>
      </c>
      <c r="C184" s="207">
        <v>39390</v>
      </c>
      <c r="D184" s="8"/>
      <c r="E184" s="209">
        <f>F75-(F180+F167+F140+F98)-SUM(E185:E190)</f>
        <v>146010</v>
      </c>
      <c r="F184" s="36"/>
      <c r="G184" s="2" t="str">
        <f t="shared" si="3"/>
        <v>106.620,00 €</v>
      </c>
      <c r="H184" s="244" t="s">
        <v>377</v>
      </c>
      <c r="I184" s="115"/>
    </row>
    <row r="185" spans="1:9" s="63" customFormat="1" x14ac:dyDescent="0.25">
      <c r="A185" s="248" t="s">
        <v>54</v>
      </c>
      <c r="B185" s="243" t="s">
        <v>48</v>
      </c>
      <c r="C185" s="207">
        <v>28000</v>
      </c>
      <c r="D185" s="207"/>
      <c r="E185" s="209">
        <f>E14/2</f>
        <v>31979.999999999996</v>
      </c>
      <c r="F185" s="208"/>
      <c r="G185" s="2" t="str">
        <f t="shared" si="3"/>
        <v>3.980,00 €</v>
      </c>
      <c r="H185" s="115"/>
      <c r="I185" s="115"/>
    </row>
    <row r="186" spans="1:9" s="63" customFormat="1" x14ac:dyDescent="0.25">
      <c r="A186" s="248"/>
      <c r="B186" s="249"/>
      <c r="C186" s="8"/>
      <c r="D186" s="8"/>
      <c r="E186" s="35"/>
      <c r="F186" s="36"/>
      <c r="G186" s="2" t="str">
        <f t="shared" si="3"/>
        <v/>
      </c>
      <c r="H186" s="115"/>
      <c r="I186" s="115"/>
    </row>
    <row r="187" spans="1:9" s="63" customFormat="1" x14ac:dyDescent="0.25">
      <c r="A187" s="237" t="s">
        <v>371</v>
      </c>
      <c r="B187" s="246" t="s">
        <v>375</v>
      </c>
      <c r="C187" s="8"/>
      <c r="D187" s="8">
        <f>SUM(C188:C190)</f>
        <v>61150</v>
      </c>
      <c r="E187" s="35"/>
      <c r="F187" s="36">
        <f>SUM(E188:E190)</f>
        <v>61150</v>
      </c>
      <c r="G187" s="2">
        <f t="shared" si="3"/>
        <v>0</v>
      </c>
      <c r="H187" s="115"/>
      <c r="I187" s="115"/>
    </row>
    <row r="188" spans="1:9" s="63" customFormat="1" x14ac:dyDescent="0.25">
      <c r="A188" s="248" t="s">
        <v>373</v>
      </c>
      <c r="B188" s="247" t="s">
        <v>33</v>
      </c>
      <c r="C188" s="46">
        <v>30000</v>
      </c>
      <c r="D188" s="58"/>
      <c r="E188" s="47">
        <v>30000</v>
      </c>
      <c r="F188" s="36"/>
      <c r="G188" s="2" t="str">
        <f t="shared" si="3"/>
        <v xml:space="preserve"> 0,00 €</v>
      </c>
      <c r="H188" s="115"/>
      <c r="I188" s="115"/>
    </row>
    <row r="189" spans="1:9" s="63" customFormat="1" x14ac:dyDescent="0.25">
      <c r="A189" s="248" t="s">
        <v>376</v>
      </c>
      <c r="B189" s="243" t="s">
        <v>382</v>
      </c>
      <c r="C189" s="46">
        <v>1150</v>
      </c>
      <c r="D189" s="58"/>
      <c r="E189" s="47">
        <v>1150</v>
      </c>
      <c r="F189" s="36"/>
      <c r="G189" s="2" t="str">
        <f t="shared" si="3"/>
        <v xml:space="preserve"> 0,00 €</v>
      </c>
      <c r="H189" s="244" t="s">
        <v>384</v>
      </c>
      <c r="I189" s="115"/>
    </row>
    <row r="190" spans="1:9" s="19" customFormat="1" x14ac:dyDescent="0.25">
      <c r="A190" s="248" t="s">
        <v>386</v>
      </c>
      <c r="B190" s="243" t="s">
        <v>374</v>
      </c>
      <c r="C190" s="46">
        <v>30000</v>
      </c>
      <c r="D190" s="58"/>
      <c r="E190" s="47">
        <v>30000</v>
      </c>
      <c r="F190" s="11"/>
      <c r="G190" s="2" t="str">
        <f t="shared" si="3"/>
        <v xml:space="preserve"> 0,00 €</v>
      </c>
      <c r="H190" s="115"/>
      <c r="I190" s="115"/>
    </row>
    <row r="191" spans="1:9" x14ac:dyDescent="0.25">
      <c r="A191" s="45"/>
      <c r="B191" s="245"/>
      <c r="C191" s="8"/>
      <c r="D191" s="40"/>
      <c r="E191" s="35"/>
      <c r="F191" s="11"/>
      <c r="G191" s="2" t="str">
        <f t="shared" si="3"/>
        <v/>
      </c>
      <c r="H191" s="115"/>
      <c r="I191" s="115"/>
    </row>
    <row r="192" spans="1:9" ht="15.75" thickBot="1" x14ac:dyDescent="0.3">
      <c r="A192" s="214" t="s">
        <v>355</v>
      </c>
      <c r="B192" s="216" t="s">
        <v>357</v>
      </c>
      <c r="C192" s="49"/>
      <c r="D192" s="49">
        <f>SUM(D183:D191)</f>
        <v>128540</v>
      </c>
      <c r="E192" s="50"/>
      <c r="F192" s="51">
        <f>SUM(F183:F191)</f>
        <v>239140</v>
      </c>
      <c r="G192" s="2">
        <f t="shared" si="3"/>
        <v>110600</v>
      </c>
      <c r="H192" s="115"/>
      <c r="I192" s="115"/>
    </row>
    <row r="193" spans="1:9" ht="14.25" customHeight="1" thickBot="1" x14ac:dyDescent="0.3">
      <c r="A193" s="217"/>
      <c r="B193" s="23"/>
      <c r="C193" s="22"/>
      <c r="D193" s="23"/>
      <c r="E193" s="24"/>
      <c r="F193" s="25"/>
      <c r="G193" s="2" t="str">
        <f t="shared" si="3"/>
        <v/>
      </c>
      <c r="H193" s="115"/>
      <c r="I193" s="115"/>
    </row>
    <row r="194" spans="1:9" x14ac:dyDescent="0.25">
      <c r="A194" s="278" t="s">
        <v>404</v>
      </c>
      <c r="B194" s="135"/>
      <c r="C194" s="8"/>
      <c r="D194" s="40"/>
      <c r="E194" s="35"/>
      <c r="F194" s="11"/>
      <c r="G194" s="2" t="str">
        <f t="shared" si="3"/>
        <v/>
      </c>
      <c r="H194" s="115"/>
      <c r="I194" s="115"/>
    </row>
    <row r="195" spans="1:9" x14ac:dyDescent="0.25">
      <c r="A195" s="45"/>
      <c r="B195" s="135" t="s">
        <v>405</v>
      </c>
      <c r="C195" s="93"/>
      <c r="D195" s="93">
        <f>SUM(D192+D180+D167+D140+D98)</f>
        <v>2602372.12</v>
      </c>
      <c r="E195" s="94"/>
      <c r="F195" s="69">
        <f>SUM(F192+F180+F167+F140+F98)</f>
        <v>1889290</v>
      </c>
      <c r="G195" s="2">
        <f t="shared" si="3"/>
        <v>-713082.12000000011</v>
      </c>
      <c r="H195" s="115"/>
      <c r="I195" s="115"/>
    </row>
    <row r="196" spans="1:9" s="63" customFormat="1" ht="15.75" thickBot="1" x14ac:dyDescent="0.3">
      <c r="A196" s="275"/>
      <c r="B196" s="221"/>
      <c r="C196" s="222"/>
      <c r="D196" s="222"/>
      <c r="E196" s="223"/>
      <c r="F196" s="224"/>
      <c r="G196" s="2" t="str">
        <f t="shared" si="3"/>
        <v/>
      </c>
      <c r="H196" s="115"/>
      <c r="I196" s="115"/>
    </row>
    <row r="197" spans="1:9" s="63" customFormat="1" ht="15.75" thickBot="1" x14ac:dyDescent="0.3">
      <c r="A197" s="218"/>
      <c r="B197" s="219"/>
      <c r="C197" s="220"/>
      <c r="D197" s="220"/>
      <c r="E197" s="220"/>
      <c r="F197" s="220"/>
      <c r="G197" s="2" t="str">
        <f t="shared" si="3"/>
        <v/>
      </c>
      <c r="H197" s="115"/>
      <c r="I197" s="115"/>
    </row>
    <row r="198" spans="1:9" s="63" customFormat="1" x14ac:dyDescent="0.25">
      <c r="A198" s="276"/>
      <c r="B198" s="225"/>
      <c r="C198" s="226"/>
      <c r="D198" s="226"/>
      <c r="E198" s="227"/>
      <c r="F198" s="228"/>
      <c r="G198" s="2" t="str">
        <f t="shared" si="3"/>
        <v/>
      </c>
      <c r="H198" s="115"/>
      <c r="I198" s="115"/>
    </row>
    <row r="199" spans="1:9" ht="21" x14ac:dyDescent="0.35">
      <c r="A199" s="277"/>
      <c r="B199" s="229" t="s">
        <v>358</v>
      </c>
      <c r="C199" s="230"/>
      <c r="D199" s="230"/>
      <c r="E199" s="231"/>
      <c r="F199" s="232">
        <f>F75-F195</f>
        <v>0</v>
      </c>
      <c r="G199" s="2">
        <f t="shared" si="3"/>
        <v>0</v>
      </c>
      <c r="H199" s="244" t="s">
        <v>387</v>
      </c>
      <c r="I199" s="115"/>
    </row>
    <row r="200" spans="1:9" ht="15.75" thickBot="1" x14ac:dyDescent="0.3">
      <c r="A200" s="275"/>
      <c r="B200" s="73"/>
      <c r="C200" s="95"/>
      <c r="D200" s="95"/>
      <c r="E200" s="96"/>
      <c r="F200" s="97"/>
      <c r="G200" s="2" t="str">
        <f t="shared" si="3"/>
        <v/>
      </c>
    </row>
    <row r="201" spans="1:9" x14ac:dyDescent="0.25">
      <c r="A201" s="13"/>
      <c r="B201" s="53"/>
    </row>
    <row r="202" spans="1:9" s="115" customFormat="1" x14ac:dyDescent="0.25">
      <c r="A202" s="255"/>
      <c r="B202" s="257" t="s">
        <v>398</v>
      </c>
      <c r="C202" s="236"/>
      <c r="D202" s="256"/>
      <c r="E202" s="235"/>
      <c r="G202" s="235"/>
    </row>
    <row r="203" spans="1:9" x14ac:dyDescent="0.25">
      <c r="A203" s="13"/>
      <c r="B203" s="53"/>
    </row>
    <row r="207" spans="1:9" x14ac:dyDescent="0.25">
      <c r="B207" s="14"/>
    </row>
  </sheetData>
  <mergeCells count="3">
    <mergeCell ref="A1:G1"/>
    <mergeCell ref="A3:B3"/>
    <mergeCell ref="A77:B77"/>
  </mergeCells>
  <pageMargins left="0.70866141732283472" right="0.70866141732283472" top="0.78740157480314965" bottom="0.78740157480314965"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6"/>
  <sheetViews>
    <sheetView zoomScale="115" workbookViewId="0">
      <selection activeCell="A15" sqref="A15"/>
    </sheetView>
  </sheetViews>
  <sheetFormatPr baseColWidth="10" defaultRowHeight="15" x14ac:dyDescent="0.25"/>
  <cols>
    <col min="1" max="1" width="15.5703125" customWidth="1"/>
    <col min="2" max="2" width="47" style="13" customWidth="1"/>
    <col min="3" max="4" width="13.28515625" customWidth="1"/>
    <col min="5" max="5" width="16.28515625" customWidth="1"/>
    <col min="6" max="6" width="13" customWidth="1"/>
    <col min="7" max="7" width="20.85546875" customWidth="1"/>
    <col min="8" max="8" width="12.85546875" customWidth="1"/>
  </cols>
  <sheetData>
    <row r="1" spans="1:7" ht="19.5" x14ac:dyDescent="0.3">
      <c r="B1" s="133" t="s">
        <v>308</v>
      </c>
      <c r="C1" s="115"/>
      <c r="D1" s="115"/>
      <c r="E1" s="115"/>
      <c r="F1" s="115"/>
    </row>
    <row r="2" spans="1:7" x14ac:dyDescent="0.25">
      <c r="A2" s="13" t="s">
        <v>198</v>
      </c>
      <c r="C2" s="115"/>
      <c r="D2" s="115"/>
      <c r="E2" s="115"/>
      <c r="F2" s="115"/>
    </row>
    <row r="3" spans="1:7" x14ac:dyDescent="0.25">
      <c r="A3" s="98" t="s">
        <v>199</v>
      </c>
      <c r="B3" t="s">
        <v>32</v>
      </c>
    </row>
    <row r="4" spans="1:7" x14ac:dyDescent="0.25">
      <c r="A4" s="98" t="s">
        <v>200</v>
      </c>
      <c r="B4" t="s">
        <v>33</v>
      </c>
      <c r="C4" s="1">
        <v>225000</v>
      </c>
    </row>
    <row r="5" spans="1:7" x14ac:dyDescent="0.25">
      <c r="A5" s="98" t="s">
        <v>201</v>
      </c>
      <c r="B5" t="s">
        <v>202</v>
      </c>
      <c r="C5" s="1">
        <v>78000</v>
      </c>
    </row>
    <row r="6" spans="1:7" x14ac:dyDescent="0.25">
      <c r="A6" s="98" t="s">
        <v>203</v>
      </c>
      <c r="B6" t="s">
        <v>143</v>
      </c>
    </row>
    <row r="7" spans="1:7" ht="15.75" x14ac:dyDescent="0.25">
      <c r="A7" s="13"/>
      <c r="B7" s="118" t="s">
        <v>143</v>
      </c>
    </row>
    <row r="8" spans="1:7" x14ac:dyDescent="0.25">
      <c r="A8" s="13" t="s">
        <v>204</v>
      </c>
      <c r="B8" s="106" t="s">
        <v>306</v>
      </c>
      <c r="C8" s="99">
        <v>8000</v>
      </c>
    </row>
    <row r="9" spans="1:7" x14ac:dyDescent="0.25">
      <c r="A9" s="13" t="s">
        <v>205</v>
      </c>
      <c r="B9" s="106" t="s">
        <v>303</v>
      </c>
      <c r="C9" s="99">
        <v>8000</v>
      </c>
    </row>
    <row r="10" spans="1:7" x14ac:dyDescent="0.25">
      <c r="A10" s="13" t="s">
        <v>206</v>
      </c>
      <c r="B10" s="106" t="s">
        <v>304</v>
      </c>
      <c r="C10" s="99">
        <v>8000</v>
      </c>
    </row>
    <row r="11" spans="1:7" x14ac:dyDescent="0.25">
      <c r="A11" s="13" t="s">
        <v>207</v>
      </c>
      <c r="B11" s="106" t="s">
        <v>305</v>
      </c>
      <c r="C11" s="99">
        <v>8000</v>
      </c>
    </row>
    <row r="12" spans="1:7" ht="30" customHeight="1" x14ac:dyDescent="0.3">
      <c r="B12" s="263" t="s">
        <v>309</v>
      </c>
      <c r="C12" s="263"/>
      <c r="D12" s="263"/>
      <c r="E12" s="263"/>
      <c r="F12" s="100"/>
    </row>
    <row r="13" spans="1:7" ht="27" customHeight="1" x14ac:dyDescent="0.25">
      <c r="A13" s="117" t="s">
        <v>298</v>
      </c>
      <c r="B13" s="116">
        <v>225000</v>
      </c>
    </row>
    <row r="14" spans="1:7" ht="27.75" customHeight="1" x14ac:dyDescent="0.25">
      <c r="A14" s="117" t="s">
        <v>297</v>
      </c>
      <c r="B14" s="131">
        <f>(B13-D65)/C65</f>
        <v>3.9535905320550917</v>
      </c>
    </row>
    <row r="15" spans="1:7" ht="17.25" x14ac:dyDescent="0.25">
      <c r="A15" s="132" t="s">
        <v>406</v>
      </c>
      <c r="B15" s="3" t="s">
        <v>33</v>
      </c>
      <c r="C15" s="105" t="s">
        <v>295</v>
      </c>
      <c r="D15" s="3" t="s">
        <v>208</v>
      </c>
      <c r="E15" s="105" t="s">
        <v>300</v>
      </c>
      <c r="F15" s="3" t="s">
        <v>209</v>
      </c>
      <c r="G15" s="3" t="s">
        <v>210</v>
      </c>
    </row>
    <row r="16" spans="1:7" x14ac:dyDescent="0.25">
      <c r="A16" s="34" t="s">
        <v>211</v>
      </c>
      <c r="B16" s="110" t="s">
        <v>212</v>
      </c>
      <c r="C16" s="34">
        <v>38.625</v>
      </c>
      <c r="D16" s="111">
        <v>2250</v>
      </c>
      <c r="E16" s="101">
        <f>C16*B14</f>
        <v>152.70743430062791</v>
      </c>
      <c r="F16" s="102">
        <f>D16+E16</f>
        <v>2402.7074343006279</v>
      </c>
      <c r="G16" s="101">
        <v>2403</v>
      </c>
    </row>
    <row r="17" spans="1:7" x14ac:dyDescent="0.25">
      <c r="A17" s="34" t="s">
        <v>213</v>
      </c>
      <c r="B17" s="110" t="s">
        <v>214</v>
      </c>
      <c r="C17" s="34">
        <v>68.75</v>
      </c>
      <c r="D17" s="111">
        <v>2250</v>
      </c>
      <c r="E17" s="107">
        <f>C17*B14</f>
        <v>271.80934907878753</v>
      </c>
      <c r="F17" s="102">
        <f t="shared" ref="F17:F64" si="0">D17+E17</f>
        <v>2521.8093490787874</v>
      </c>
      <c r="G17" s="101">
        <v>2522</v>
      </c>
    </row>
    <row r="18" spans="1:7" x14ac:dyDescent="0.25">
      <c r="A18" s="34" t="s">
        <v>215</v>
      </c>
      <c r="B18" s="110" t="s">
        <v>216</v>
      </c>
      <c r="C18" s="34">
        <v>188.5</v>
      </c>
      <c r="D18" s="111">
        <v>2250</v>
      </c>
      <c r="E18" s="101">
        <f>C18*B14</f>
        <v>745.25181529238478</v>
      </c>
      <c r="F18" s="102">
        <f t="shared" si="0"/>
        <v>2995.2518152923849</v>
      </c>
      <c r="G18" s="101">
        <v>2996</v>
      </c>
    </row>
    <row r="19" spans="1:7" x14ac:dyDescent="0.25">
      <c r="A19" s="34" t="s">
        <v>217</v>
      </c>
      <c r="B19" s="110" t="s">
        <v>218</v>
      </c>
      <c r="C19" s="34">
        <v>896.28499999999997</v>
      </c>
      <c r="D19" s="111">
        <v>2250</v>
      </c>
      <c r="E19" s="101">
        <f>C19*B14</f>
        <v>3543.5438900229979</v>
      </c>
      <c r="F19" s="102">
        <f t="shared" si="0"/>
        <v>5793.5438900229983</v>
      </c>
      <c r="G19" s="101">
        <v>5793</v>
      </c>
    </row>
    <row r="20" spans="1:7" x14ac:dyDescent="0.25">
      <c r="A20" s="34" t="s">
        <v>219</v>
      </c>
      <c r="B20" s="110" t="s">
        <v>220</v>
      </c>
      <c r="C20" s="34">
        <v>23.375</v>
      </c>
      <c r="D20" s="111">
        <v>2250</v>
      </c>
      <c r="E20" s="101">
        <f>C20*B14</f>
        <v>92.415178686787769</v>
      </c>
      <c r="F20" s="102">
        <f t="shared" si="0"/>
        <v>2342.4151786867878</v>
      </c>
      <c r="G20" s="101">
        <v>2343</v>
      </c>
    </row>
    <row r="21" spans="1:7" x14ac:dyDescent="0.25">
      <c r="A21" s="103" t="str">
        <f>"0"&amp;206</f>
        <v>0206</v>
      </c>
      <c r="B21" s="110" t="s">
        <v>221</v>
      </c>
      <c r="C21" s="34">
        <v>1729.75</v>
      </c>
      <c r="D21" s="111">
        <v>2250</v>
      </c>
      <c r="E21" s="101">
        <f>C21*B14</f>
        <v>6838.7232228222947</v>
      </c>
      <c r="F21" s="102">
        <f t="shared" si="0"/>
        <v>9088.7232228222947</v>
      </c>
      <c r="G21" s="101">
        <v>9088</v>
      </c>
    </row>
    <row r="22" spans="1:7" x14ac:dyDescent="0.25">
      <c r="A22" s="34" t="s">
        <v>222</v>
      </c>
      <c r="B22" s="110" t="s">
        <v>223</v>
      </c>
      <c r="C22" s="34">
        <v>924.75</v>
      </c>
      <c r="D22" s="111">
        <v>2250</v>
      </c>
      <c r="E22" s="101">
        <f>C22*B14</f>
        <v>3656.0828445179459</v>
      </c>
      <c r="F22" s="102">
        <f t="shared" si="0"/>
        <v>5906.0828445179459</v>
      </c>
      <c r="G22" s="101">
        <v>5906</v>
      </c>
    </row>
    <row r="23" spans="1:7" x14ac:dyDescent="0.25">
      <c r="A23" s="34" t="s">
        <v>224</v>
      </c>
      <c r="B23" s="110" t="s">
        <v>225</v>
      </c>
      <c r="C23" s="34">
        <v>239.875</v>
      </c>
      <c r="D23" s="111">
        <v>2250</v>
      </c>
      <c r="E23" s="101">
        <f>C23*B14</f>
        <v>948.36752887671514</v>
      </c>
      <c r="F23" s="102">
        <f t="shared" si="0"/>
        <v>3198.3675288767154</v>
      </c>
      <c r="G23" s="101">
        <v>3199</v>
      </c>
    </row>
    <row r="24" spans="1:7" x14ac:dyDescent="0.25">
      <c r="A24" s="34" t="s">
        <v>226</v>
      </c>
      <c r="B24" s="110" t="s">
        <v>227</v>
      </c>
      <c r="C24" s="34">
        <v>355</v>
      </c>
      <c r="D24" s="111">
        <v>2250</v>
      </c>
      <c r="E24" s="101">
        <f>C24*B14</f>
        <v>1403.5246388795576</v>
      </c>
      <c r="F24" s="102">
        <f t="shared" si="0"/>
        <v>3653.5246388795576</v>
      </c>
      <c r="G24" s="101">
        <v>3654</v>
      </c>
    </row>
    <row r="25" spans="1:7" x14ac:dyDescent="0.25">
      <c r="A25" s="34" t="s">
        <v>228</v>
      </c>
      <c r="B25" s="110" t="s">
        <v>229</v>
      </c>
      <c r="C25" s="34">
        <v>318.5</v>
      </c>
      <c r="D25" s="111">
        <v>2250</v>
      </c>
      <c r="E25" s="101">
        <f>C25*B14</f>
        <v>1259.2185844595467</v>
      </c>
      <c r="F25" s="102">
        <f t="shared" si="0"/>
        <v>3509.2185844595469</v>
      </c>
      <c r="G25" s="101">
        <v>3510</v>
      </c>
    </row>
    <row r="26" spans="1:7" x14ac:dyDescent="0.25">
      <c r="A26" s="34" t="s">
        <v>230</v>
      </c>
      <c r="B26" s="110" t="s">
        <v>231</v>
      </c>
      <c r="C26" s="34">
        <v>214.75</v>
      </c>
      <c r="D26" s="111">
        <v>2250</v>
      </c>
      <c r="E26" s="101">
        <f>C26*B14</f>
        <v>849.03356675883094</v>
      </c>
      <c r="F26" s="102">
        <f t="shared" si="0"/>
        <v>3099.0335667588311</v>
      </c>
      <c r="G26" s="101">
        <v>3100</v>
      </c>
    </row>
    <row r="27" spans="1:7" x14ac:dyDescent="0.25">
      <c r="A27" s="34" t="str">
        <f>"0"&amp;213</f>
        <v>0213</v>
      </c>
      <c r="B27" s="110" t="s">
        <v>233</v>
      </c>
      <c r="C27" s="34">
        <v>696.75</v>
      </c>
      <c r="D27" s="111">
        <v>2250</v>
      </c>
      <c r="E27" s="101">
        <f>C27*B14</f>
        <v>2754.6642032093851</v>
      </c>
      <c r="F27" s="102">
        <f t="shared" si="0"/>
        <v>5004.6642032093851</v>
      </c>
      <c r="G27" s="101">
        <v>5004</v>
      </c>
    </row>
    <row r="28" spans="1:7" x14ac:dyDescent="0.25">
      <c r="A28" s="34" t="str">
        <f>"0"&amp;214</f>
        <v>0214</v>
      </c>
      <c r="B28" s="110" t="s">
        <v>232</v>
      </c>
      <c r="C28" s="34">
        <v>174</v>
      </c>
      <c r="D28" s="111">
        <v>2250</v>
      </c>
      <c r="E28" s="101">
        <f>C28*B14</f>
        <v>687.92475257758599</v>
      </c>
      <c r="F28" s="102">
        <f t="shared" si="0"/>
        <v>2937.9247525775859</v>
      </c>
      <c r="G28" s="101">
        <v>2938</v>
      </c>
    </row>
    <row r="29" spans="1:7" x14ac:dyDescent="0.25">
      <c r="A29" s="34" t="str">
        <f>"0"&amp;215</f>
        <v>0215</v>
      </c>
      <c r="B29" s="110" t="s">
        <v>234</v>
      </c>
      <c r="C29" s="34">
        <v>696.62999999999965</v>
      </c>
      <c r="D29" s="111">
        <v>2250</v>
      </c>
      <c r="E29" s="101">
        <f>C29*B14</f>
        <v>2754.1897723455372</v>
      </c>
      <c r="F29" s="102">
        <f t="shared" si="0"/>
        <v>5004.1897723455368</v>
      </c>
      <c r="G29" s="101">
        <v>5004</v>
      </c>
    </row>
    <row r="30" spans="1:7" x14ac:dyDescent="0.25">
      <c r="A30" s="34" t="str">
        <f>"0"&amp;216</f>
        <v>0216</v>
      </c>
      <c r="B30" s="110" t="s">
        <v>235</v>
      </c>
      <c r="C30" s="34">
        <v>42.825000000000067</v>
      </c>
      <c r="D30" s="111">
        <v>2250</v>
      </c>
      <c r="E30" s="101">
        <f>C30*B14</f>
        <v>169.31251453525957</v>
      </c>
      <c r="F30" s="102">
        <f t="shared" si="0"/>
        <v>2419.3125145352597</v>
      </c>
      <c r="G30" s="101">
        <v>2420</v>
      </c>
    </row>
    <row r="31" spans="1:7" x14ac:dyDescent="0.25">
      <c r="A31" s="34" t="str">
        <f>"0"&amp;217</f>
        <v>0217</v>
      </c>
      <c r="B31" s="110" t="s">
        <v>236</v>
      </c>
      <c r="C31" s="34">
        <v>872</v>
      </c>
      <c r="D31" s="111">
        <v>2250</v>
      </c>
      <c r="E31" s="101">
        <f>C31*B14</f>
        <v>3447.5309439520402</v>
      </c>
      <c r="F31" s="102">
        <f t="shared" si="0"/>
        <v>5697.5309439520406</v>
      </c>
      <c r="G31" s="101">
        <v>5697</v>
      </c>
    </row>
    <row r="32" spans="1:7" x14ac:dyDescent="0.25">
      <c r="A32" s="34" t="str">
        <f>"0"&amp;218</f>
        <v>0218</v>
      </c>
      <c r="B32" s="110" t="s">
        <v>237</v>
      </c>
      <c r="C32" s="34">
        <v>803</v>
      </c>
      <c r="D32" s="111">
        <v>2250</v>
      </c>
      <c r="E32" s="101">
        <f>C32*B14</f>
        <v>3174.7331972402385</v>
      </c>
      <c r="F32" s="102">
        <f t="shared" si="0"/>
        <v>5424.733197240239</v>
      </c>
      <c r="G32" s="101">
        <v>5424</v>
      </c>
    </row>
    <row r="33" spans="1:7" x14ac:dyDescent="0.25">
      <c r="A33" s="34" t="str">
        <f>"0"&amp;219</f>
        <v>0219</v>
      </c>
      <c r="B33" s="110" t="s">
        <v>238</v>
      </c>
      <c r="C33" s="34">
        <v>58.875</v>
      </c>
      <c r="D33" s="111">
        <v>2250</v>
      </c>
      <c r="E33" s="101">
        <f>C33*B14</f>
        <v>232.76764257474352</v>
      </c>
      <c r="F33" s="102">
        <f t="shared" si="0"/>
        <v>2482.7676425747436</v>
      </c>
      <c r="G33" s="101">
        <v>2483</v>
      </c>
    </row>
    <row r="34" spans="1:7" x14ac:dyDescent="0.25">
      <c r="A34" s="34" t="str">
        <f>"0"&amp;220</f>
        <v>0220</v>
      </c>
      <c r="B34" s="110" t="s">
        <v>239</v>
      </c>
      <c r="C34" s="34">
        <v>214.91666666666666</v>
      </c>
      <c r="D34" s="111">
        <v>2250</v>
      </c>
      <c r="E34" s="101">
        <f>C34*B14</f>
        <v>849.69249851417339</v>
      </c>
      <c r="F34" s="102">
        <f t="shared" si="0"/>
        <v>3099.6924985141732</v>
      </c>
      <c r="G34" s="101">
        <v>3100</v>
      </c>
    </row>
    <row r="35" spans="1:7" x14ac:dyDescent="0.25">
      <c r="A35" s="34" t="str">
        <f>"0"&amp;221</f>
        <v>0221</v>
      </c>
      <c r="B35" s="110" t="s">
        <v>240</v>
      </c>
      <c r="C35" s="34">
        <v>2234.125</v>
      </c>
      <c r="D35" s="111">
        <v>2250</v>
      </c>
      <c r="E35" s="101">
        <f>C35*B14</f>
        <v>8832.8154474275816</v>
      </c>
      <c r="F35" s="102">
        <f t="shared" si="0"/>
        <v>11082.815447427582</v>
      </c>
      <c r="G35" s="101">
        <v>11082</v>
      </c>
    </row>
    <row r="36" spans="1:7" x14ac:dyDescent="0.25">
      <c r="A36" s="34" t="str">
        <f>"0"&amp;222</f>
        <v>0222</v>
      </c>
      <c r="B36" s="110" t="s">
        <v>293</v>
      </c>
      <c r="C36" s="34">
        <v>163.125</v>
      </c>
      <c r="D36" s="111">
        <v>2250</v>
      </c>
      <c r="E36" s="101">
        <f>C36*B14</f>
        <v>644.92945554148685</v>
      </c>
      <c r="F36" s="102">
        <f t="shared" si="0"/>
        <v>2894.9294555414867</v>
      </c>
      <c r="G36" s="101">
        <v>2895</v>
      </c>
    </row>
    <row r="37" spans="1:7" x14ac:dyDescent="0.25">
      <c r="A37" s="34" t="str">
        <f>"0"&amp;223</f>
        <v>0223</v>
      </c>
      <c r="B37" s="110" t="s">
        <v>241</v>
      </c>
      <c r="C37" s="34">
        <v>197.75</v>
      </c>
      <c r="D37" s="111">
        <v>2250</v>
      </c>
      <c r="E37" s="101">
        <f>C37*B14</f>
        <v>781.82252771389437</v>
      </c>
      <c r="F37" s="102">
        <f t="shared" si="0"/>
        <v>3031.8225277138945</v>
      </c>
      <c r="G37" s="101">
        <v>3032</v>
      </c>
    </row>
    <row r="38" spans="1:7" x14ac:dyDescent="0.25">
      <c r="A38" s="34" t="str">
        <f>"0"&amp;224</f>
        <v>0224</v>
      </c>
      <c r="B38" s="110" t="s">
        <v>242</v>
      </c>
      <c r="C38" s="34">
        <v>304.625</v>
      </c>
      <c r="D38" s="111">
        <v>2250</v>
      </c>
      <c r="E38" s="101">
        <f>C38*B14</f>
        <v>1204.3625158272823</v>
      </c>
      <c r="F38" s="102">
        <f t="shared" si="0"/>
        <v>3454.3625158272826</v>
      </c>
      <c r="G38" s="101">
        <v>3455</v>
      </c>
    </row>
    <row r="39" spans="1:7" x14ac:dyDescent="0.25">
      <c r="A39" s="34" t="str">
        <f>"0"&amp;225</f>
        <v>0225</v>
      </c>
      <c r="B39" s="130" t="s">
        <v>302</v>
      </c>
      <c r="C39" s="34">
        <v>820.25</v>
      </c>
      <c r="D39" s="111">
        <v>2250</v>
      </c>
      <c r="E39" s="101">
        <f>C39*B14</f>
        <v>3242.9326339181889</v>
      </c>
      <c r="F39" s="102">
        <f t="shared" si="0"/>
        <v>5492.9326339181889</v>
      </c>
      <c r="G39" s="101">
        <v>5492</v>
      </c>
    </row>
    <row r="40" spans="1:7" x14ac:dyDescent="0.25">
      <c r="A40" s="34" t="s">
        <v>243</v>
      </c>
      <c r="B40" s="110" t="s">
        <v>244</v>
      </c>
      <c r="C40" s="34">
        <v>4177</v>
      </c>
      <c r="D40" s="111">
        <v>2250</v>
      </c>
      <c r="E40" s="101">
        <f>C40*B14</f>
        <v>16514.147652394116</v>
      </c>
      <c r="F40" s="102">
        <f t="shared" si="0"/>
        <v>18764.147652394116</v>
      </c>
      <c r="G40" s="101">
        <v>18760</v>
      </c>
    </row>
    <row r="41" spans="1:7" x14ac:dyDescent="0.25">
      <c r="A41" s="34" t="s">
        <v>245</v>
      </c>
      <c r="B41" s="110" t="s">
        <v>246</v>
      </c>
      <c r="C41" s="34">
        <v>2199.5</v>
      </c>
      <c r="D41" s="111">
        <v>2250</v>
      </c>
      <c r="E41" s="101">
        <f>C41*B14</f>
        <v>8695.9223752551734</v>
      </c>
      <c r="F41" s="102">
        <f t="shared" si="0"/>
        <v>10945.922375255173</v>
      </c>
      <c r="G41" s="101">
        <v>10945</v>
      </c>
    </row>
    <row r="42" spans="1:7" x14ac:dyDescent="0.25">
      <c r="A42" s="34" t="s">
        <v>247</v>
      </c>
      <c r="B42" s="110" t="s">
        <v>294</v>
      </c>
      <c r="C42" s="34">
        <v>51.5</v>
      </c>
      <c r="D42" s="111">
        <v>2250</v>
      </c>
      <c r="E42" s="101">
        <f>C42*B14</f>
        <v>203.60991240083723</v>
      </c>
      <c r="F42" s="102">
        <f t="shared" si="0"/>
        <v>2453.6099124008374</v>
      </c>
      <c r="G42" s="101">
        <v>2454</v>
      </c>
    </row>
    <row r="43" spans="1:7" x14ac:dyDescent="0.25">
      <c r="A43" s="34" t="s">
        <v>248</v>
      </c>
      <c r="B43" s="110" t="s">
        <v>249</v>
      </c>
      <c r="C43" s="34">
        <v>567</v>
      </c>
      <c r="D43" s="111">
        <v>2250</v>
      </c>
      <c r="E43" s="101">
        <f>C43*B14</f>
        <v>2241.6858316752368</v>
      </c>
      <c r="F43" s="102">
        <f t="shared" si="0"/>
        <v>4491.6858316752368</v>
      </c>
      <c r="G43" s="101">
        <v>4492</v>
      </c>
    </row>
    <row r="44" spans="1:7" x14ac:dyDescent="0.25">
      <c r="A44" s="34" t="s">
        <v>250</v>
      </c>
      <c r="B44" s="110" t="s">
        <v>251</v>
      </c>
      <c r="C44" s="34">
        <v>123.5</v>
      </c>
      <c r="D44" s="111">
        <v>2250</v>
      </c>
      <c r="E44" s="101">
        <f>C44*B14</f>
        <v>488.26843070880381</v>
      </c>
      <c r="F44" s="102">
        <f t="shared" si="0"/>
        <v>2738.2684307088039</v>
      </c>
      <c r="G44" s="101">
        <v>2739</v>
      </c>
    </row>
    <row r="45" spans="1:7" x14ac:dyDescent="0.25">
      <c r="A45" s="34" t="str">
        <f>"0"&amp;231</f>
        <v>0231</v>
      </c>
      <c r="B45" s="110" t="s">
        <v>252</v>
      </c>
      <c r="C45" s="34">
        <v>76.416666666666671</v>
      </c>
      <c r="D45" s="111">
        <v>2250</v>
      </c>
      <c r="E45" s="101">
        <f>C45*B14</f>
        <v>302.12020982454328</v>
      </c>
      <c r="F45" s="102">
        <f t="shared" si="0"/>
        <v>2552.1202098245431</v>
      </c>
      <c r="G45" s="101">
        <v>2553</v>
      </c>
    </row>
    <row r="46" spans="1:7" x14ac:dyDescent="0.25">
      <c r="A46" s="34" t="str">
        <f>"0"&amp;232</f>
        <v>0232</v>
      </c>
      <c r="B46" s="110" t="s">
        <v>253</v>
      </c>
      <c r="C46" s="34">
        <v>135</v>
      </c>
      <c r="D46" s="111">
        <v>2250</v>
      </c>
      <c r="E46" s="101">
        <f>C46*B14</f>
        <v>533.7347218274374</v>
      </c>
      <c r="F46" s="102">
        <f t="shared" si="0"/>
        <v>2783.7347218274372</v>
      </c>
      <c r="G46" s="101">
        <v>2784</v>
      </c>
    </row>
    <row r="47" spans="1:7" x14ac:dyDescent="0.25">
      <c r="A47" s="34" t="str">
        <f>"0"&amp;233</f>
        <v>0233</v>
      </c>
      <c r="B47" s="110" t="s">
        <v>254</v>
      </c>
      <c r="C47" s="34">
        <v>569.84999999999934</v>
      </c>
      <c r="D47" s="111">
        <v>2250</v>
      </c>
      <c r="E47" s="101">
        <f>C47*B14</f>
        <v>2252.9535646915915</v>
      </c>
      <c r="F47" s="102">
        <f t="shared" si="0"/>
        <v>4502.953564691592</v>
      </c>
      <c r="G47" s="101">
        <v>4503</v>
      </c>
    </row>
    <row r="48" spans="1:7" x14ac:dyDescent="0.25">
      <c r="A48" s="34" t="str">
        <f>"0"&amp;234</f>
        <v>0234</v>
      </c>
      <c r="B48" s="130" t="s">
        <v>301</v>
      </c>
      <c r="C48" s="34">
        <v>2662.75</v>
      </c>
      <c r="D48" s="111">
        <v>2250</v>
      </c>
      <c r="E48" s="101">
        <f>C48*B14</f>
        <v>10527.423189229696</v>
      </c>
      <c r="F48" s="102">
        <f t="shared" si="0"/>
        <v>12777.423189229696</v>
      </c>
      <c r="G48" s="101">
        <v>12775</v>
      </c>
    </row>
    <row r="49" spans="1:7" x14ac:dyDescent="0.25">
      <c r="A49" s="34" t="str">
        <f>"0"&amp;235</f>
        <v>0235</v>
      </c>
      <c r="B49" s="110" t="s">
        <v>255</v>
      </c>
      <c r="C49" s="34">
        <v>712.625</v>
      </c>
      <c r="D49" s="111">
        <v>2250</v>
      </c>
      <c r="E49" s="101">
        <f>C49*B14</f>
        <v>2817.4274529057598</v>
      </c>
      <c r="F49" s="102">
        <f t="shared" si="0"/>
        <v>5067.4274529057602</v>
      </c>
      <c r="G49" s="101">
        <v>5067</v>
      </c>
    </row>
    <row r="50" spans="1:7" x14ac:dyDescent="0.25">
      <c r="A50" s="34" t="str">
        <f>"0"&amp;236</f>
        <v>0236</v>
      </c>
      <c r="B50" s="110" t="s">
        <v>256</v>
      </c>
      <c r="C50" s="34">
        <v>790.375</v>
      </c>
      <c r="D50" s="111">
        <v>2250</v>
      </c>
      <c r="E50" s="101">
        <f>C50*B14</f>
        <v>3124.8191167730429</v>
      </c>
      <c r="F50" s="102">
        <f t="shared" si="0"/>
        <v>5374.8191167730429</v>
      </c>
      <c r="G50" s="101">
        <v>5374</v>
      </c>
    </row>
    <row r="51" spans="1:7" x14ac:dyDescent="0.25">
      <c r="A51" s="34" t="str">
        <f>"0"&amp;237</f>
        <v>0237</v>
      </c>
      <c r="B51" s="110" t="s">
        <v>257</v>
      </c>
      <c r="C51" s="34">
        <v>92.625</v>
      </c>
      <c r="D51" s="111">
        <v>2250</v>
      </c>
      <c r="E51" s="101">
        <f>C51*B14</f>
        <v>366.2013230316029</v>
      </c>
      <c r="F51" s="102">
        <f t="shared" si="0"/>
        <v>2616.2013230316029</v>
      </c>
      <c r="G51" s="101">
        <v>2617</v>
      </c>
    </row>
    <row r="52" spans="1:7" x14ac:dyDescent="0.25">
      <c r="A52" s="34" t="str">
        <f>"0"&amp;238</f>
        <v>0238</v>
      </c>
      <c r="B52" s="110" t="s">
        <v>258</v>
      </c>
      <c r="C52" s="34">
        <v>475.70499999999998</v>
      </c>
      <c r="D52" s="111">
        <v>2250</v>
      </c>
      <c r="E52" s="101">
        <f>C52*B14</f>
        <v>1880.7427840512673</v>
      </c>
      <c r="F52" s="102">
        <f t="shared" si="0"/>
        <v>4130.7427840512673</v>
      </c>
      <c r="G52" s="101">
        <v>4131</v>
      </c>
    </row>
    <row r="53" spans="1:7" x14ac:dyDescent="0.25">
      <c r="A53" s="34" t="str">
        <f>"0"&amp;239</f>
        <v>0239</v>
      </c>
      <c r="B53" s="110" t="s">
        <v>259</v>
      </c>
      <c r="C53" s="34">
        <v>11.875</v>
      </c>
      <c r="D53" s="111">
        <v>2250</v>
      </c>
      <c r="E53" s="101">
        <f>C53*B14</f>
        <v>46.948887568154213</v>
      </c>
      <c r="F53" s="102">
        <f t="shared" si="0"/>
        <v>2296.9488875681541</v>
      </c>
      <c r="G53" s="101">
        <v>2297</v>
      </c>
    </row>
    <row r="54" spans="1:7" x14ac:dyDescent="0.25">
      <c r="A54" s="34" t="str">
        <f>"0"&amp;240</f>
        <v>0240</v>
      </c>
      <c r="B54" s="110" t="s">
        <v>260</v>
      </c>
      <c r="C54" s="34">
        <v>147.04166666666669</v>
      </c>
      <c r="D54" s="111">
        <v>2250</v>
      </c>
      <c r="E54" s="101">
        <f>C54*B14</f>
        <v>581.34254115093415</v>
      </c>
      <c r="F54" s="102">
        <f t="shared" si="0"/>
        <v>2831.3425411509343</v>
      </c>
      <c r="G54" s="101">
        <v>2832</v>
      </c>
    </row>
    <row r="55" spans="1:7" x14ac:dyDescent="0.25">
      <c r="A55" s="34" t="str">
        <f>"0"&amp;241</f>
        <v>0241</v>
      </c>
      <c r="B55" s="110" t="s">
        <v>261</v>
      </c>
      <c r="C55" s="34">
        <v>129.125</v>
      </c>
      <c r="D55" s="111">
        <v>2250</v>
      </c>
      <c r="E55" s="101">
        <f>C55*B14</f>
        <v>510.50737745161371</v>
      </c>
      <c r="F55" s="102">
        <f t="shared" si="0"/>
        <v>2760.5073774516136</v>
      </c>
      <c r="G55" s="101">
        <v>2761</v>
      </c>
    </row>
    <row r="56" spans="1:7" x14ac:dyDescent="0.25">
      <c r="A56" s="34" t="str">
        <f>"0"&amp;242</f>
        <v>0242</v>
      </c>
      <c r="B56" s="110" t="s">
        <v>262</v>
      </c>
      <c r="C56" s="34">
        <v>567.5</v>
      </c>
      <c r="D56" s="111">
        <v>2250</v>
      </c>
      <c r="E56" s="101">
        <f>C56*B14</f>
        <v>2243.6626269412645</v>
      </c>
      <c r="F56" s="102">
        <f t="shared" si="0"/>
        <v>4493.6626269412645</v>
      </c>
      <c r="G56" s="101">
        <v>4494</v>
      </c>
    </row>
    <row r="57" spans="1:7" x14ac:dyDescent="0.25">
      <c r="A57" s="34" t="str">
        <f>"0"&amp;243</f>
        <v>0243</v>
      </c>
      <c r="B57" s="110" t="s">
        <v>263</v>
      </c>
      <c r="C57" s="34">
        <v>386.05500000000006</v>
      </c>
      <c r="D57" s="111">
        <v>2250</v>
      </c>
      <c r="E57" s="101">
        <f>C57*B14</f>
        <v>1526.3033928525288</v>
      </c>
      <c r="F57" s="102">
        <f t="shared" si="0"/>
        <v>3776.3033928525288</v>
      </c>
      <c r="G57" s="101">
        <v>3777</v>
      </c>
    </row>
    <row r="58" spans="1:7" x14ac:dyDescent="0.25">
      <c r="A58" s="34" t="str">
        <f>"0"&amp;244</f>
        <v>0244</v>
      </c>
      <c r="B58" s="110" t="s">
        <v>264</v>
      </c>
      <c r="C58" s="34">
        <v>130</v>
      </c>
      <c r="D58" s="111">
        <v>2250</v>
      </c>
      <c r="E58" s="101">
        <f>C58*B14</f>
        <v>513.96676916716194</v>
      </c>
      <c r="F58" s="102">
        <f t="shared" si="0"/>
        <v>2763.9667691671621</v>
      </c>
      <c r="G58" s="101">
        <v>2764</v>
      </c>
    </row>
    <row r="59" spans="1:7" x14ac:dyDescent="0.25">
      <c r="A59" s="34" t="str">
        <f>"0"&amp;245</f>
        <v>0245</v>
      </c>
      <c r="B59" s="110" t="s">
        <v>265</v>
      </c>
      <c r="C59" s="34">
        <v>466.27500000000003</v>
      </c>
      <c r="D59" s="111">
        <v>2250</v>
      </c>
      <c r="E59" s="101">
        <f>C59*B14</f>
        <v>1843.460425333988</v>
      </c>
      <c r="F59" s="102">
        <f t="shared" si="0"/>
        <v>4093.460425333988</v>
      </c>
      <c r="G59" s="101">
        <v>4094</v>
      </c>
    </row>
    <row r="60" spans="1:7" x14ac:dyDescent="0.25">
      <c r="A60" s="34" t="str">
        <f>"0"&amp;246</f>
        <v>0246</v>
      </c>
      <c r="B60" s="110" t="s">
        <v>266</v>
      </c>
      <c r="C60" s="34">
        <v>129</v>
      </c>
      <c r="D60" s="111">
        <v>2250</v>
      </c>
      <c r="E60" s="101">
        <f>C60*B14</f>
        <v>510.01317863510684</v>
      </c>
      <c r="F60" s="102">
        <f t="shared" si="0"/>
        <v>2760.0131786351067</v>
      </c>
      <c r="G60" s="101">
        <v>2760</v>
      </c>
    </row>
    <row r="61" spans="1:7" x14ac:dyDescent="0.25">
      <c r="A61" s="34" t="str">
        <f>"0"&amp;247</f>
        <v>0247</v>
      </c>
      <c r="B61" s="110" t="s">
        <v>296</v>
      </c>
      <c r="C61" s="34">
        <v>97.25</v>
      </c>
      <c r="D61" s="111">
        <v>2250</v>
      </c>
      <c r="E61" s="101">
        <f>C61*B14</f>
        <v>384.4866792423577</v>
      </c>
      <c r="F61" s="102">
        <f t="shared" si="0"/>
        <v>2634.4866792423577</v>
      </c>
      <c r="G61" s="101">
        <v>2635</v>
      </c>
    </row>
    <row r="62" spans="1:7" x14ac:dyDescent="0.25">
      <c r="A62" s="34" t="str">
        <f>"0"&amp;248</f>
        <v>0248</v>
      </c>
      <c r="B62" s="110" t="s">
        <v>267</v>
      </c>
      <c r="C62" s="34">
        <v>490</v>
      </c>
      <c r="D62" s="111">
        <v>2250</v>
      </c>
      <c r="E62" s="101">
        <f>C62*B14</f>
        <v>1937.259360706995</v>
      </c>
      <c r="F62" s="102">
        <f t="shared" si="0"/>
        <v>4187.2593607069948</v>
      </c>
      <c r="G62" s="101">
        <v>4188</v>
      </c>
    </row>
    <row r="63" spans="1:7" x14ac:dyDescent="0.25">
      <c r="A63" s="34" t="str">
        <f>"0"&amp;249</f>
        <v>0249</v>
      </c>
      <c r="B63" s="110" t="s">
        <v>268</v>
      </c>
      <c r="C63" s="113">
        <v>995.25</v>
      </c>
      <c r="D63" s="111">
        <v>2250</v>
      </c>
      <c r="E63" s="101">
        <f>C63*B14</f>
        <v>3934.8109770278302</v>
      </c>
      <c r="F63" s="102">
        <f t="shared" si="0"/>
        <v>6184.8109770278297</v>
      </c>
      <c r="G63" s="101">
        <v>6184</v>
      </c>
    </row>
    <row r="64" spans="1:7" x14ac:dyDescent="0.25">
      <c r="A64" s="34" t="str">
        <f>"0"&amp;250</f>
        <v>0250</v>
      </c>
      <c r="B64" s="110" t="s">
        <v>269</v>
      </c>
      <c r="C64" s="34">
        <v>564</v>
      </c>
      <c r="D64" s="111">
        <v>2250</v>
      </c>
      <c r="E64" s="101">
        <f>C64*B14</f>
        <v>2229.8250600790716</v>
      </c>
      <c r="F64" s="102">
        <f t="shared" si="0"/>
        <v>4479.8250600790716</v>
      </c>
      <c r="G64" s="101">
        <v>4480</v>
      </c>
    </row>
    <row r="65" spans="1:8" ht="15.75" thickBot="1" x14ac:dyDescent="0.3">
      <c r="A65" s="113"/>
      <c r="B65" s="119" t="s">
        <v>209</v>
      </c>
      <c r="C65" s="119">
        <f>SUM(C16:C64)</f>
        <v>29024.25</v>
      </c>
      <c r="D65" s="120">
        <f>SUM(D16:D64)</f>
        <v>110250</v>
      </c>
      <c r="E65" s="121">
        <f>SUM(E16:E64)</f>
        <v>114750</v>
      </c>
      <c r="F65" s="122">
        <f>D65+E65</f>
        <v>225000</v>
      </c>
      <c r="G65" s="123">
        <f>SUM(G16:G64)</f>
        <v>225000</v>
      </c>
    </row>
    <row r="66" spans="1:8" s="63" customFormat="1" ht="15.75" thickTop="1" x14ac:dyDescent="0.25">
      <c r="A66" s="124"/>
      <c r="B66" s="125"/>
      <c r="C66" s="125"/>
      <c r="D66" s="126"/>
      <c r="E66" s="127"/>
      <c r="F66" s="128"/>
      <c r="G66" s="129"/>
    </row>
    <row r="67" spans="1:8" x14ac:dyDescent="0.25">
      <c r="A67" s="264" t="s">
        <v>270</v>
      </c>
      <c r="B67" s="264"/>
      <c r="C67" s="264"/>
      <c r="D67" s="264"/>
      <c r="E67" s="264"/>
      <c r="F67" s="264"/>
      <c r="G67" s="264"/>
      <c r="H67" s="63"/>
    </row>
    <row r="68" spans="1:8" ht="78" customHeight="1" x14ac:dyDescent="0.25">
      <c r="A68" s="262" t="s">
        <v>307</v>
      </c>
      <c r="B68" s="262"/>
      <c r="C68" s="262"/>
      <c r="D68" s="262"/>
      <c r="E68" s="262"/>
      <c r="F68" s="262"/>
      <c r="G68" s="262"/>
    </row>
    <row r="69" spans="1:8" ht="37.5" customHeight="1" x14ac:dyDescent="0.25">
      <c r="A69" s="262" t="s">
        <v>299</v>
      </c>
      <c r="B69" s="262"/>
      <c r="C69" s="262"/>
      <c r="D69" s="262"/>
      <c r="E69" s="262"/>
      <c r="F69" s="262"/>
      <c r="G69" s="262"/>
    </row>
    <row r="73" spans="1:8" x14ac:dyDescent="0.25">
      <c r="A73" s="108"/>
      <c r="B73" s="109"/>
      <c r="C73" s="108"/>
    </row>
    <row r="74" spans="1:8" x14ac:dyDescent="0.25">
      <c r="A74" s="108"/>
      <c r="B74" s="108"/>
      <c r="C74" s="108"/>
    </row>
    <row r="75" spans="1:8" x14ac:dyDescent="0.25">
      <c r="A75" s="108"/>
      <c r="B75" s="108"/>
      <c r="C75" s="108"/>
    </row>
    <row r="76" spans="1:8" x14ac:dyDescent="0.25">
      <c r="A76" s="108"/>
      <c r="B76" s="109"/>
      <c r="C76" s="108"/>
    </row>
  </sheetData>
  <mergeCells count="4">
    <mergeCell ref="A69:G69"/>
    <mergeCell ref="B12:E12"/>
    <mergeCell ref="A67:G67"/>
    <mergeCell ref="A68:G68"/>
  </mergeCells>
  <pageMargins left="0.7" right="0.7" top="0.78740157500000008" bottom="0.78740157500000008"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workbookViewId="0">
      <selection activeCell="D11" sqref="D11"/>
    </sheetView>
  </sheetViews>
  <sheetFormatPr baseColWidth="10" defaultRowHeight="15" x14ac:dyDescent="0.25"/>
  <cols>
    <col min="1" max="1" width="27.5703125" customWidth="1"/>
    <col min="2" max="2" width="8.28515625" customWidth="1"/>
    <col min="3" max="3" width="7.42578125" customWidth="1"/>
    <col min="4" max="4" width="6.28515625" customWidth="1"/>
    <col min="5" max="5" width="15.5703125" customWidth="1"/>
    <col min="6" max="6" width="16.28515625" style="63" customWidth="1"/>
    <col min="7" max="7" width="13.85546875" customWidth="1"/>
    <col min="8" max="8" width="13.85546875" style="63" customWidth="1"/>
    <col min="9" max="9" width="13" customWidth="1"/>
    <col min="11" max="11" width="12.85546875" customWidth="1"/>
    <col min="12" max="12" width="17.5703125" customWidth="1"/>
  </cols>
  <sheetData>
    <row r="1" spans="1:13" ht="19.5" x14ac:dyDescent="0.3">
      <c r="A1" s="266" t="s">
        <v>322</v>
      </c>
      <c r="B1" s="267"/>
      <c r="C1" s="267"/>
      <c r="D1" s="267"/>
      <c r="E1" s="267"/>
      <c r="F1" s="186"/>
      <c r="G1" s="63"/>
      <c r="I1" s="63"/>
      <c r="J1" s="63"/>
      <c r="K1" s="63"/>
      <c r="L1" s="63"/>
      <c r="M1" s="63"/>
    </row>
    <row r="2" spans="1:13" s="63" customFormat="1" ht="19.5" x14ac:dyDescent="0.3">
      <c r="A2" s="198"/>
      <c r="B2" s="186"/>
      <c r="C2" s="186"/>
      <c r="D2" s="186"/>
      <c r="E2" s="186"/>
      <c r="F2" s="186"/>
    </row>
    <row r="3" spans="1:13" s="63" customFormat="1" ht="19.5" x14ac:dyDescent="0.3">
      <c r="A3" s="198"/>
      <c r="B3" s="186"/>
      <c r="C3" s="186"/>
      <c r="D3" s="186"/>
      <c r="E3" s="186"/>
      <c r="F3" s="186"/>
    </row>
    <row r="4" spans="1:13" ht="14.45" customHeight="1" thickBot="1" x14ac:dyDescent="0.3">
      <c r="A4" s="143" t="s">
        <v>327</v>
      </c>
      <c r="B4" s="134"/>
      <c r="C4" s="63"/>
      <c r="D4" s="63"/>
      <c r="E4" s="63"/>
      <c r="G4" s="63"/>
      <c r="I4" s="63"/>
      <c r="J4" s="63"/>
      <c r="K4" s="63"/>
      <c r="L4" s="63"/>
      <c r="M4" s="63"/>
    </row>
    <row r="5" spans="1:13" ht="33" customHeight="1" thickTop="1" thickBot="1" x14ac:dyDescent="0.3">
      <c r="A5" s="148" t="s">
        <v>271</v>
      </c>
      <c r="B5" s="188" t="s">
        <v>331</v>
      </c>
      <c r="C5" s="170" t="s">
        <v>310</v>
      </c>
      <c r="D5" s="170" t="s">
        <v>311</v>
      </c>
      <c r="E5" s="170" t="s">
        <v>323</v>
      </c>
      <c r="F5" s="187" t="s">
        <v>333</v>
      </c>
      <c r="G5" s="171" t="s">
        <v>332</v>
      </c>
      <c r="H5" s="189" t="s">
        <v>324</v>
      </c>
      <c r="I5" s="197" t="s">
        <v>326</v>
      </c>
      <c r="J5" s="136" t="s">
        <v>325</v>
      </c>
      <c r="K5" s="199" t="s">
        <v>312</v>
      </c>
      <c r="L5" s="104" t="s">
        <v>313</v>
      </c>
      <c r="M5" s="63"/>
    </row>
    <row r="6" spans="1:13" ht="14.45" customHeight="1" thickTop="1" x14ac:dyDescent="0.25">
      <c r="A6" s="144" t="s">
        <v>272</v>
      </c>
      <c r="B6" s="155">
        <v>3</v>
      </c>
      <c r="C6" s="162"/>
      <c r="D6" s="162"/>
      <c r="E6" s="172"/>
      <c r="F6" s="165"/>
      <c r="G6" s="173"/>
      <c r="H6" s="190"/>
      <c r="I6" s="174"/>
      <c r="J6" s="137"/>
      <c r="K6" s="200"/>
      <c r="L6" s="63"/>
      <c r="M6" s="63"/>
    </row>
    <row r="7" spans="1:13" ht="14.45" customHeight="1" x14ac:dyDescent="0.25">
      <c r="A7" s="145" t="s">
        <v>273</v>
      </c>
      <c r="B7" s="156">
        <v>1</v>
      </c>
      <c r="C7" s="163" t="s">
        <v>314</v>
      </c>
      <c r="D7" s="163">
        <v>3</v>
      </c>
      <c r="E7" s="175">
        <v>8.0500000000000007</v>
      </c>
      <c r="F7" s="114">
        <v>35</v>
      </c>
      <c r="G7" s="176">
        <v>10000</v>
      </c>
      <c r="H7" s="191">
        <v>20</v>
      </c>
      <c r="I7" s="178">
        <f>PRODUCT(E7,1/39.5)</f>
        <v>0.20379746835443038</v>
      </c>
      <c r="J7" s="138">
        <v>9781.92</v>
      </c>
      <c r="K7" s="201">
        <v>45658</v>
      </c>
      <c r="L7" s="63"/>
      <c r="M7" s="63"/>
    </row>
    <row r="8" spans="1:13" ht="14.45" customHeight="1" x14ac:dyDescent="0.25">
      <c r="A8" s="145" t="s">
        <v>274</v>
      </c>
      <c r="B8" s="156">
        <v>1</v>
      </c>
      <c r="C8" s="163" t="s">
        <v>275</v>
      </c>
      <c r="D8" s="163" t="s">
        <v>315</v>
      </c>
      <c r="E8" s="175">
        <v>19.75</v>
      </c>
      <c r="F8" s="114">
        <v>85.87</v>
      </c>
      <c r="G8" s="176">
        <v>45000</v>
      </c>
      <c r="H8" s="191">
        <v>50</v>
      </c>
      <c r="I8" s="178">
        <f>PRODUCT(E8,1/39.5)</f>
        <v>0.5</v>
      </c>
      <c r="J8" s="63">
        <v>44450</v>
      </c>
      <c r="K8" s="202" t="s">
        <v>316</v>
      </c>
      <c r="L8" s="63"/>
      <c r="M8" s="63"/>
    </row>
    <row r="9" spans="1:13" ht="14.45" customHeight="1" x14ac:dyDescent="0.25">
      <c r="A9" s="149" t="s">
        <v>330</v>
      </c>
      <c r="B9" s="156">
        <v>1</v>
      </c>
      <c r="C9" s="163" t="s">
        <v>317</v>
      </c>
      <c r="D9" s="163">
        <v>1</v>
      </c>
      <c r="E9" s="175">
        <v>6.9</v>
      </c>
      <c r="F9" s="114"/>
      <c r="G9" s="176">
        <v>8000</v>
      </c>
      <c r="H9" s="191">
        <v>29</v>
      </c>
      <c r="I9" s="178">
        <f>PRODUCT(E9,1/39.5)</f>
        <v>0.17468354430379748</v>
      </c>
      <c r="J9" s="1">
        <v>7944.3</v>
      </c>
      <c r="K9" s="201">
        <v>44986</v>
      </c>
      <c r="L9" s="63"/>
      <c r="M9" s="63"/>
    </row>
    <row r="10" spans="1:13" ht="14.45" customHeight="1" thickBot="1" x14ac:dyDescent="0.3">
      <c r="A10" s="146"/>
      <c r="B10" s="157"/>
      <c r="C10" s="163"/>
      <c r="D10" s="163"/>
      <c r="E10" s="177"/>
      <c r="F10" s="114"/>
      <c r="G10" s="176"/>
      <c r="H10" s="192"/>
      <c r="I10" s="178"/>
      <c r="J10" s="63"/>
      <c r="K10" s="203"/>
      <c r="L10" s="63"/>
      <c r="M10" s="63"/>
    </row>
    <row r="11" spans="1:13" ht="14.45" customHeight="1" thickTop="1" x14ac:dyDescent="0.25">
      <c r="A11" s="150" t="s">
        <v>277</v>
      </c>
      <c r="B11" s="158">
        <v>1</v>
      </c>
      <c r="C11" s="164"/>
      <c r="D11" s="164"/>
      <c r="E11" s="179"/>
      <c r="F11" s="165"/>
      <c r="G11" s="173"/>
      <c r="H11" s="193"/>
      <c r="I11" s="174"/>
      <c r="J11" s="137"/>
      <c r="K11" s="204"/>
      <c r="L11" s="63"/>
      <c r="M11" s="63"/>
    </row>
    <row r="12" spans="1:13" ht="14.45" customHeight="1" x14ac:dyDescent="0.25">
      <c r="A12" s="145" t="s">
        <v>278</v>
      </c>
      <c r="B12" s="156">
        <v>1</v>
      </c>
      <c r="C12" s="163" t="s">
        <v>279</v>
      </c>
      <c r="D12" s="163" t="s">
        <v>318</v>
      </c>
      <c r="E12" s="175">
        <v>9.1999999999999993</v>
      </c>
      <c r="F12" s="114">
        <v>40</v>
      </c>
      <c r="G12" s="176">
        <v>12000</v>
      </c>
      <c r="H12" s="191">
        <v>23</v>
      </c>
      <c r="I12" s="178">
        <f>PRODUCT(E12,1/39.5)</f>
        <v>0.23291139240506328</v>
      </c>
      <c r="J12" s="141">
        <v>11505.26</v>
      </c>
      <c r="K12" s="201">
        <v>44927</v>
      </c>
      <c r="L12" s="63"/>
      <c r="M12" s="63"/>
    </row>
    <row r="13" spans="1:13" ht="14.45" customHeight="1" thickBot="1" x14ac:dyDescent="0.3">
      <c r="A13" s="151"/>
      <c r="B13" s="159"/>
      <c r="C13" s="166"/>
      <c r="D13" s="166"/>
      <c r="E13" s="180"/>
      <c r="F13" s="182"/>
      <c r="G13" s="181"/>
      <c r="H13" s="194"/>
      <c r="I13" s="184"/>
      <c r="J13" s="63"/>
      <c r="K13" s="205"/>
      <c r="L13" s="63"/>
      <c r="M13" s="63"/>
    </row>
    <row r="14" spans="1:13" ht="14.45" customHeight="1" thickTop="1" x14ac:dyDescent="0.25">
      <c r="A14" s="152" t="s">
        <v>280</v>
      </c>
      <c r="B14" s="155">
        <v>2</v>
      </c>
      <c r="C14" s="167"/>
      <c r="D14" s="167"/>
      <c r="E14" s="179"/>
      <c r="F14" s="165"/>
      <c r="G14" s="173"/>
      <c r="H14" s="193"/>
      <c r="I14" s="174"/>
      <c r="J14" s="137"/>
      <c r="K14" s="200"/>
      <c r="L14" s="63"/>
      <c r="M14" s="63"/>
    </row>
    <row r="15" spans="1:13" ht="14.45" customHeight="1" x14ac:dyDescent="0.25">
      <c r="A15" s="145" t="s">
        <v>281</v>
      </c>
      <c r="B15" s="156">
        <v>1</v>
      </c>
      <c r="C15" s="163" t="s">
        <v>319</v>
      </c>
      <c r="D15" s="163">
        <v>1</v>
      </c>
      <c r="E15" s="175">
        <v>6.92</v>
      </c>
      <c r="F15" s="114">
        <v>42.39</v>
      </c>
      <c r="G15" s="176">
        <v>9000</v>
      </c>
      <c r="H15" s="191">
        <v>17</v>
      </c>
      <c r="I15" s="178">
        <f>PRODUCT(E15,1/39.5)</f>
        <v>0.17518987341772152</v>
      </c>
      <c r="J15" s="139">
        <v>8755</v>
      </c>
      <c r="K15" s="201">
        <v>45108</v>
      </c>
      <c r="L15" s="63"/>
      <c r="M15" s="63"/>
    </row>
    <row r="16" spans="1:13" ht="14.45" customHeight="1" x14ac:dyDescent="0.25">
      <c r="A16" s="145" t="s">
        <v>282</v>
      </c>
      <c r="B16" s="156">
        <v>1</v>
      </c>
      <c r="C16" s="163" t="s">
        <v>283</v>
      </c>
      <c r="D16" s="163">
        <v>4</v>
      </c>
      <c r="E16" s="175">
        <v>10</v>
      </c>
      <c r="F16" s="114">
        <v>43.48</v>
      </c>
      <c r="G16" s="176">
        <v>17000</v>
      </c>
      <c r="H16" s="191">
        <v>25</v>
      </c>
      <c r="I16" s="178">
        <f>PRODUCT(E16,1/39.5)</f>
        <v>0.25316455696202533</v>
      </c>
      <c r="J16" s="139">
        <v>16502.12</v>
      </c>
      <c r="K16" s="201">
        <v>45566</v>
      </c>
      <c r="L16" s="63"/>
      <c r="M16" s="63"/>
    </row>
    <row r="17" spans="1:13" ht="14.45" customHeight="1" thickBot="1" x14ac:dyDescent="0.3">
      <c r="A17" s="153"/>
      <c r="B17" s="159"/>
      <c r="C17" s="166"/>
      <c r="D17" s="166"/>
      <c r="E17" s="183"/>
      <c r="F17" s="182"/>
      <c r="G17" s="181"/>
      <c r="H17" s="195"/>
      <c r="I17" s="184"/>
      <c r="J17" s="139"/>
      <c r="K17" s="206"/>
      <c r="L17" s="63"/>
      <c r="M17" s="63"/>
    </row>
    <row r="18" spans="1:13" ht="15.75" thickTop="1" x14ac:dyDescent="0.25">
      <c r="A18" s="152" t="s">
        <v>284</v>
      </c>
      <c r="B18" s="155">
        <v>1</v>
      </c>
      <c r="C18" s="167"/>
      <c r="D18" s="167"/>
      <c r="E18" s="179"/>
      <c r="F18" s="165"/>
      <c r="G18" s="173"/>
      <c r="H18" s="193"/>
      <c r="I18" s="174"/>
      <c r="J18" s="140"/>
      <c r="K18" s="200"/>
      <c r="L18" s="63"/>
      <c r="M18" s="63"/>
    </row>
    <row r="19" spans="1:13" ht="14.45" customHeight="1" x14ac:dyDescent="0.25">
      <c r="A19" s="145" t="s">
        <v>285</v>
      </c>
      <c r="B19" s="156">
        <v>1</v>
      </c>
      <c r="C19" s="163" t="s">
        <v>276</v>
      </c>
      <c r="D19" s="163" t="s">
        <v>320</v>
      </c>
      <c r="E19" s="175">
        <v>15.2</v>
      </c>
      <c r="F19" s="114">
        <v>56.09</v>
      </c>
      <c r="G19" s="176">
        <v>20000</v>
      </c>
      <c r="H19" s="191">
        <v>33</v>
      </c>
      <c r="I19" s="178">
        <f>PRODUCT(E19,1/39.5)</f>
        <v>0.38481012658227848</v>
      </c>
      <c r="J19" s="139">
        <v>19740.240000000002</v>
      </c>
      <c r="K19" s="201">
        <v>44896</v>
      </c>
      <c r="L19" s="63"/>
      <c r="M19" s="63"/>
    </row>
    <row r="20" spans="1:13" ht="14.45" customHeight="1" thickBot="1" x14ac:dyDescent="0.3">
      <c r="A20" s="151"/>
      <c r="B20" s="159"/>
      <c r="C20" s="166"/>
      <c r="D20" s="166"/>
      <c r="E20" s="180"/>
      <c r="F20" s="182"/>
      <c r="G20" s="181"/>
      <c r="H20" s="194"/>
      <c r="I20" s="184"/>
      <c r="J20" s="63"/>
      <c r="K20" s="205"/>
      <c r="L20" s="63"/>
      <c r="M20" s="63"/>
    </row>
    <row r="21" spans="1:13" ht="15.75" thickTop="1" x14ac:dyDescent="0.25">
      <c r="A21" s="152" t="s">
        <v>111</v>
      </c>
      <c r="B21" s="155">
        <v>2</v>
      </c>
      <c r="C21" s="167"/>
      <c r="D21" s="167"/>
      <c r="E21" s="179"/>
      <c r="F21" s="165"/>
      <c r="G21" s="173"/>
      <c r="H21" s="193"/>
      <c r="I21" s="174"/>
      <c r="J21" s="137"/>
      <c r="K21" s="200"/>
      <c r="L21" s="63"/>
      <c r="M21" s="63"/>
    </row>
    <row r="22" spans="1:13" ht="14.45" customHeight="1" x14ac:dyDescent="0.25">
      <c r="A22" s="149" t="s">
        <v>329</v>
      </c>
      <c r="B22" s="156">
        <v>1</v>
      </c>
      <c r="C22" s="163" t="s">
        <v>286</v>
      </c>
      <c r="D22" s="163">
        <v>3</v>
      </c>
      <c r="E22" s="175">
        <v>10.5</v>
      </c>
      <c r="F22" s="114">
        <v>45.65</v>
      </c>
      <c r="G22" s="176">
        <v>16000</v>
      </c>
      <c r="H22" s="191">
        <v>27</v>
      </c>
      <c r="I22" s="178">
        <f>PRODUCT(E22,1/39.5)</f>
        <v>0.26582278481012656</v>
      </c>
      <c r="J22" s="141">
        <v>15017.17</v>
      </c>
      <c r="K22" s="201">
        <v>45566</v>
      </c>
      <c r="L22" s="63"/>
      <c r="M22" s="63"/>
    </row>
    <row r="23" spans="1:13" ht="14.45" customHeight="1" x14ac:dyDescent="0.25">
      <c r="A23" s="149" t="s">
        <v>328</v>
      </c>
      <c r="B23" s="156">
        <v>1</v>
      </c>
      <c r="C23" s="163" t="s">
        <v>286</v>
      </c>
      <c r="D23" s="163" t="s">
        <v>321</v>
      </c>
      <c r="E23" s="175">
        <v>9.66</v>
      </c>
      <c r="F23" s="114">
        <v>42</v>
      </c>
      <c r="G23" s="176">
        <v>13000</v>
      </c>
      <c r="H23" s="191">
        <v>24</v>
      </c>
      <c r="I23" s="178">
        <f>PRODUCT(E23,1/39.5)</f>
        <v>0.24455696202531646</v>
      </c>
      <c r="J23" s="141">
        <v>12689.55</v>
      </c>
      <c r="K23" s="202"/>
      <c r="L23" s="63"/>
      <c r="M23" s="63"/>
    </row>
    <row r="24" spans="1:13" ht="14.45" customHeight="1" thickBot="1" x14ac:dyDescent="0.3">
      <c r="A24" s="151"/>
      <c r="B24" s="160"/>
      <c r="C24" s="168"/>
      <c r="D24" s="169"/>
      <c r="E24" s="185"/>
      <c r="F24" s="182"/>
      <c r="G24" s="181"/>
      <c r="H24" s="194"/>
      <c r="I24" s="184"/>
      <c r="J24" s="112"/>
      <c r="K24" s="151"/>
      <c r="L24" s="63"/>
      <c r="M24" s="63"/>
    </row>
    <row r="25" spans="1:13" ht="14.45" customHeight="1" thickTop="1" x14ac:dyDescent="0.25">
      <c r="A25" s="146"/>
      <c r="B25" s="157"/>
      <c r="C25" s="114"/>
      <c r="D25" s="114"/>
      <c r="E25" s="114"/>
      <c r="F25" s="114"/>
      <c r="G25" s="176"/>
      <c r="H25" s="192"/>
      <c r="I25" s="178"/>
      <c r="J25" s="63"/>
      <c r="K25" s="146"/>
      <c r="L25" s="63"/>
      <c r="M25" s="63"/>
    </row>
    <row r="26" spans="1:13" ht="15.75" thickBot="1" x14ac:dyDescent="0.3">
      <c r="A26" s="147" t="s">
        <v>287</v>
      </c>
      <c r="B26" s="161">
        <v>9</v>
      </c>
      <c r="C26" s="169"/>
      <c r="D26" s="169"/>
      <c r="E26" s="185">
        <f>SUM(E7:E25)</f>
        <v>96.18</v>
      </c>
      <c r="F26" s="182">
        <f>SUM(F7:F25)</f>
        <v>390.47999999999996</v>
      </c>
      <c r="G26" s="181">
        <f>SUM(G7:G25)</f>
        <v>150000</v>
      </c>
      <c r="H26" s="196">
        <v>2.5</v>
      </c>
      <c r="I26" s="184">
        <f>SUM(I7:I25)</f>
        <v>2.4349367088607594</v>
      </c>
      <c r="J26" s="138">
        <f>SUM(J7:J25)</f>
        <v>146385.56</v>
      </c>
      <c r="K26" s="151"/>
      <c r="L26" s="63"/>
      <c r="M26" s="63"/>
    </row>
    <row r="27" spans="1:13" ht="29.25" customHeight="1" thickTop="1" x14ac:dyDescent="0.25">
      <c r="A27" s="135" t="s">
        <v>334</v>
      </c>
      <c r="B27" s="63"/>
      <c r="C27" s="63"/>
      <c r="D27" s="63"/>
      <c r="E27" s="63"/>
      <c r="G27" s="154">
        <v>176000</v>
      </c>
      <c r="H27" s="154"/>
      <c r="I27" s="63"/>
      <c r="J27" s="12"/>
      <c r="K27" s="63"/>
      <c r="L27" s="63"/>
      <c r="M27" s="63"/>
    </row>
    <row r="28" spans="1:13" ht="14.45" customHeight="1" x14ac:dyDescent="0.25">
      <c r="A28" s="63"/>
      <c r="B28" s="63"/>
      <c r="C28" s="63"/>
      <c r="D28" s="63"/>
      <c r="E28" s="63"/>
      <c r="G28" s="142"/>
      <c r="H28" s="142"/>
      <c r="I28" s="63"/>
      <c r="J28" s="63"/>
      <c r="K28" s="63"/>
      <c r="L28" s="63"/>
      <c r="M28" s="63"/>
    </row>
    <row r="29" spans="1:13" ht="14.45" customHeight="1" x14ac:dyDescent="0.25">
      <c r="G29" s="142"/>
      <c r="H29" s="142"/>
    </row>
    <row r="30" spans="1:13" ht="14.45" customHeight="1" x14ac:dyDescent="0.25">
      <c r="G30" s="142"/>
      <c r="H30" s="142"/>
    </row>
    <row r="31" spans="1:13" ht="31.5" customHeight="1" x14ac:dyDescent="0.25">
      <c r="A31" s="265"/>
      <c r="B31" s="265"/>
      <c r="C31" s="265"/>
      <c r="D31" s="265"/>
      <c r="G31" s="142"/>
      <c r="H31" s="142"/>
    </row>
    <row r="32" spans="1:13" ht="14.45" customHeight="1" x14ac:dyDescent="0.25"/>
    <row r="34" ht="30" customHeight="1" x14ac:dyDescent="0.25"/>
    <row r="35" ht="24.6" customHeight="1" x14ac:dyDescent="0.25"/>
    <row r="38" ht="43.15" customHeight="1" x14ac:dyDescent="0.25"/>
  </sheetData>
  <mergeCells count="2">
    <mergeCell ref="A31:D31"/>
    <mergeCell ref="A1:E1"/>
  </mergeCells>
  <pageMargins left="0.7" right="0.7" top="0.78740157500000008" bottom="0.78740157500000008"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Haushalt</vt:lpstr>
      <vt:lpstr>Zuweisungen</vt:lpstr>
      <vt:lpstr>Stellenplan</vt:lpstr>
      <vt:lpstr>Haushalt!Print_Area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finanzreferat</dc:creator>
  <cp:lastModifiedBy>fsk</cp:lastModifiedBy>
  <cp:revision>1</cp:revision>
  <cp:lastPrinted>2023-11-18T04:08:13Z</cp:lastPrinted>
  <dcterms:created xsi:type="dcterms:W3CDTF">2018-09-23T19:33:37Z</dcterms:created>
  <dcterms:modified xsi:type="dcterms:W3CDTF">2023-11-18T04:51:48Z</dcterms:modified>
</cp:coreProperties>
</file>