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karen\profiles\t.argiantzis\Desktop\"/>
    </mc:Choice>
  </mc:AlternateContent>
  <xr:revisionPtr revIDLastSave="0" documentId="13_ncr:1_{466131BE-D3E7-434D-AB6B-343591483FF3}" xr6:coauthVersionLast="36" xr6:coauthVersionMax="36" xr10:uidLastSave="{00000000-0000-0000-0000-000000000000}"/>
  <bookViews>
    <workbookView xWindow="0" yWindow="0" windowWidth="7650" windowHeight="4200" xr2:uid="{00000000-000D-0000-FFFF-FFFF00000000}"/>
  </bookViews>
  <sheets>
    <sheet name="AbschlussZentral" sheetId="2" r:id="rId1"/>
    <sheet name="Abschluss FS" sheetId="1" r:id="rId2"/>
    <sheet name="Stellenplan" sheetId="4" r:id="rId3"/>
  </sheets>
  <definedNames>
    <definedName name="_xlnm.Print_Area" localSheetId="0">AbschlussZentral!$A$1:$R$217</definedName>
    <definedName name="Print_Area" localSheetId="0">AbschlussZentral!$A$1:$L$218</definedName>
  </definedNames>
  <calcPr calcId="191029"/>
</workbook>
</file>

<file path=xl/calcChain.xml><?xml version="1.0" encoding="utf-8"?>
<calcChain xmlns="http://schemas.openxmlformats.org/spreadsheetml/2006/main">
  <c r="Q87" i="2" l="1"/>
  <c r="Q200" i="2"/>
  <c r="Q126" i="2"/>
  <c r="Q211" i="2" l="1"/>
  <c r="Q188" i="2"/>
  <c r="Q162" i="2"/>
  <c r="Q159" i="2"/>
  <c r="Q153" i="2"/>
  <c r="Q147" i="2"/>
  <c r="P143" i="2"/>
  <c r="Q119" i="2"/>
  <c r="Q107" i="2"/>
  <c r="Q100" i="2"/>
  <c r="Q92" i="2"/>
  <c r="Q77" i="2"/>
  <c r="Q62" i="2"/>
  <c r="Q66" i="2" s="1"/>
  <c r="Q44" i="2"/>
  <c r="Q38" i="2"/>
  <c r="Q34" i="2"/>
  <c r="Q30" i="2"/>
  <c r="Q24" i="2"/>
  <c r="Q21" i="2"/>
  <c r="P142" i="2"/>
  <c r="Q141" i="2" s="1"/>
  <c r="J200" i="2"/>
  <c r="Q104" i="2" l="1"/>
  <c r="Q165" i="2"/>
  <c r="Q138" i="2"/>
  <c r="Q55" i="2"/>
  <c r="Q80" i="2" s="1"/>
  <c r="Q81" i="2" s="1"/>
  <c r="D200" i="2"/>
  <c r="D87" i="2"/>
  <c r="Q217" i="2" l="1"/>
  <c r="R138" i="2"/>
  <c r="D44" i="2"/>
  <c r="D211" i="2"/>
  <c r="F211" i="2"/>
  <c r="F200" i="2"/>
  <c r="D188" i="2"/>
  <c r="F188" i="2"/>
  <c r="F162" i="2"/>
  <c r="D162" i="2"/>
  <c r="F159" i="2"/>
  <c r="D159" i="2"/>
  <c r="F153" i="2"/>
  <c r="D153" i="2"/>
  <c r="F147" i="2"/>
  <c r="D147" i="2"/>
  <c r="F141" i="2"/>
  <c r="F126" i="2"/>
  <c r="D126" i="2"/>
  <c r="F119" i="2"/>
  <c r="D119" i="2"/>
  <c r="F107" i="2"/>
  <c r="D107" i="2"/>
  <c r="F92" i="2"/>
  <c r="D92" i="2"/>
  <c r="D104" i="2" s="1"/>
  <c r="F87" i="2"/>
  <c r="F77" i="2"/>
  <c r="D77" i="2"/>
  <c r="D66" i="2"/>
  <c r="F66" i="2"/>
  <c r="F44" i="2"/>
  <c r="F34" i="2"/>
  <c r="D34" i="2"/>
  <c r="F30" i="2"/>
  <c r="D30" i="2"/>
  <c r="F24" i="2"/>
  <c r="D24" i="2"/>
  <c r="F21" i="2"/>
  <c r="D21" i="2"/>
  <c r="H211" i="2"/>
  <c r="J211" i="2"/>
  <c r="H200" i="2"/>
  <c r="H188" i="2"/>
  <c r="J188" i="2"/>
  <c r="J162" i="2"/>
  <c r="H162" i="2"/>
  <c r="J159" i="2"/>
  <c r="H159" i="2"/>
  <c r="J153" i="2"/>
  <c r="H153" i="2"/>
  <c r="J147" i="2"/>
  <c r="H147" i="2"/>
  <c r="J141" i="2"/>
  <c r="J126" i="2"/>
  <c r="H126" i="2"/>
  <c r="J119" i="2"/>
  <c r="H119" i="2"/>
  <c r="J107" i="2"/>
  <c r="H107" i="2"/>
  <c r="J100" i="2"/>
  <c r="H100" i="2"/>
  <c r="J96" i="2"/>
  <c r="J92" i="2"/>
  <c r="H92" i="2"/>
  <c r="J87" i="2"/>
  <c r="H87" i="2"/>
  <c r="J77" i="2"/>
  <c r="H77" i="2"/>
  <c r="J62" i="2"/>
  <c r="H62" i="2"/>
  <c r="H66" i="2" s="1"/>
  <c r="J44" i="2"/>
  <c r="H44" i="2"/>
  <c r="J38" i="2"/>
  <c r="H38" i="2"/>
  <c r="J34" i="2"/>
  <c r="H34" i="2"/>
  <c r="J30" i="2"/>
  <c r="H30" i="2"/>
  <c r="J24" i="2"/>
  <c r="H24" i="2"/>
  <c r="J21" i="2"/>
  <c r="H21" i="2"/>
  <c r="G142" i="2"/>
  <c r="H141" i="2" s="1"/>
  <c r="K10" i="2"/>
  <c r="K11" i="2"/>
  <c r="K142" i="2" s="1"/>
  <c r="K14" i="2"/>
  <c r="K15" i="2"/>
  <c r="K143" i="2" s="1"/>
  <c r="L21" i="2"/>
  <c r="L24" i="2"/>
  <c r="L30" i="2"/>
  <c r="L34" i="2"/>
  <c r="L38" i="2"/>
  <c r="L44" i="2"/>
  <c r="L62" i="2"/>
  <c r="L66" i="2" s="1"/>
  <c r="K70" i="2"/>
  <c r="K75" i="2"/>
  <c r="L87" i="2"/>
  <c r="L104" i="2" s="1"/>
  <c r="L92" i="2"/>
  <c r="L100" i="2"/>
  <c r="L107" i="2"/>
  <c r="L119" i="2"/>
  <c r="K128" i="2"/>
  <c r="L126" i="2" s="1"/>
  <c r="L147" i="2"/>
  <c r="L153" i="2"/>
  <c r="L159" i="2"/>
  <c r="L162" i="2"/>
  <c r="L188" i="2"/>
  <c r="L200" i="2"/>
  <c r="K209" i="2"/>
  <c r="L211" i="2" s="1"/>
  <c r="H104" i="2" l="1"/>
  <c r="L77" i="2"/>
  <c r="L55" i="2"/>
  <c r="L80" i="2" s="1"/>
  <c r="L81" i="2" s="1"/>
  <c r="J55" i="2"/>
  <c r="J138" i="2"/>
  <c r="J66" i="2"/>
  <c r="H55" i="2"/>
  <c r="H80" i="2" s="1"/>
  <c r="H81" i="2" s="1"/>
  <c r="H165" i="2"/>
  <c r="J80" i="2"/>
  <c r="J165" i="2"/>
  <c r="L138" i="2"/>
  <c r="J104" i="2"/>
  <c r="L141" i="2"/>
  <c r="L165" i="2" s="1"/>
  <c r="H138" i="2"/>
  <c r="F55" i="2"/>
  <c r="F81" i="2" s="1"/>
  <c r="F165" i="2"/>
  <c r="F138" i="2"/>
  <c r="D138" i="2"/>
  <c r="F104" i="2"/>
  <c r="D55" i="2"/>
  <c r="D80" i="2" s="1"/>
  <c r="D81" i="2" s="1"/>
  <c r="D141" i="2"/>
  <c r="D165" i="2" s="1"/>
  <c r="D217" i="2" s="1"/>
  <c r="J81" i="2"/>
  <c r="L217" i="2" l="1"/>
  <c r="H217" i="2"/>
  <c r="L216" i="2"/>
  <c r="F217" i="2"/>
  <c r="J216" i="2"/>
  <c r="J217" i="2"/>
  <c r="F80" i="2"/>
  <c r="H216" i="2"/>
  <c r="F216" i="2"/>
  <c r="D216" i="2"/>
  <c r="K55" i="1" l="1"/>
  <c r="M54" i="2" l="1"/>
  <c r="M40" i="2"/>
  <c r="I57" i="1"/>
  <c r="H57" i="1"/>
  <c r="F57" i="1"/>
  <c r="D57" i="1"/>
  <c r="I21" i="1" l="1"/>
  <c r="M163" i="2"/>
  <c r="M148" i="2"/>
  <c r="N177" i="2" l="1"/>
  <c r="M120" i="2"/>
  <c r="M150" i="2"/>
  <c r="H60" i="1"/>
  <c r="I32" i="1" l="1"/>
  <c r="M203" i="2"/>
  <c r="M208" i="2"/>
  <c r="M204" i="2"/>
  <c r="M53" i="2"/>
  <c r="N181" i="2"/>
  <c r="H21" i="1"/>
  <c r="N188" i="2" l="1"/>
  <c r="N52" i="2"/>
  <c r="M46" i="2"/>
  <c r="N87" i="2" l="1"/>
  <c r="N21" i="2"/>
  <c r="M10" i="2"/>
  <c r="N211" i="2"/>
  <c r="N92" i="2"/>
  <c r="N162" i="2"/>
  <c r="N159" i="2"/>
  <c r="N153" i="2"/>
  <c r="N147" i="2"/>
  <c r="N141" i="2"/>
  <c r="N126" i="2"/>
  <c r="N119" i="2"/>
  <c r="N107" i="2"/>
  <c r="N100" i="2"/>
  <c r="N96" i="2"/>
  <c r="N62" i="2"/>
  <c r="N58" i="2"/>
  <c r="N66" i="2" l="1"/>
  <c r="N165" i="2"/>
  <c r="N138" i="2"/>
  <c r="N104" i="2"/>
  <c r="N216" i="2" l="1"/>
  <c r="N217" i="2"/>
  <c r="N44" i="2"/>
  <c r="N38" i="2"/>
  <c r="N34" i="2"/>
  <c r="N30" i="2"/>
  <c r="N24" i="2"/>
  <c r="N55" i="2" l="1"/>
  <c r="H25" i="4"/>
  <c r="M191" i="2" l="1"/>
  <c r="N200" i="2" s="1"/>
  <c r="M15" i="2" l="1"/>
  <c r="M14" i="2"/>
  <c r="J57" i="1" l="1"/>
  <c r="K30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9" i="1"/>
  <c r="K31" i="1"/>
  <c r="K32" i="1"/>
  <c r="K33" i="1"/>
  <c r="K34" i="1"/>
  <c r="K35" i="1"/>
  <c r="K36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" i="1"/>
  <c r="N77" i="2" l="1"/>
  <c r="N81" i="2" s="1"/>
  <c r="K57" i="1" l="1"/>
  <c r="F12" i="1" l="1"/>
  <c r="F16" i="1"/>
  <c r="F21" i="1"/>
  <c r="F23" i="1"/>
  <c r="F24" i="1"/>
  <c r="F29" i="1"/>
  <c r="F36" i="1"/>
  <c r="F35" i="1"/>
  <c r="F39" i="1"/>
  <c r="F48" i="1"/>
  <c r="F51" i="1"/>
  <c r="C57" i="1" l="1"/>
  <c r="N80" i="2" l="1"/>
</calcChain>
</file>

<file path=xl/sharedStrings.xml><?xml version="1.0" encoding="utf-8"?>
<sst xmlns="http://schemas.openxmlformats.org/spreadsheetml/2006/main" count="390" uniqueCount="353">
  <si>
    <t>1</t>
  </si>
  <si>
    <t>2</t>
  </si>
  <si>
    <t>4</t>
  </si>
  <si>
    <t>Personal</t>
  </si>
  <si>
    <t>Angestelltes Personal</t>
  </si>
  <si>
    <t>421</t>
  </si>
  <si>
    <t>AE Vorsitz</t>
  </si>
  <si>
    <t>AE Protokollführung StuRa</t>
  </si>
  <si>
    <t>AE Referate</t>
  </si>
  <si>
    <t>5</t>
  </si>
  <si>
    <t>6</t>
  </si>
  <si>
    <t xml:space="preserve">7 </t>
  </si>
  <si>
    <t>8</t>
  </si>
  <si>
    <t>Fachschaften</t>
  </si>
  <si>
    <t>Unterstützung studentischer Projekte und Gruppen</t>
  </si>
  <si>
    <t>Pflege der überregionalen und internationalen Studierendenbeziehungen</t>
  </si>
  <si>
    <t>Soziale Belange der Studierendenschaft</t>
  </si>
  <si>
    <t>Unterstützung geflüchteter Studierender in wirtschaftlicher Notlage</t>
  </si>
  <si>
    <t>Notlagenstipendium</t>
  </si>
  <si>
    <t>Einnahmen</t>
  </si>
  <si>
    <t>911</t>
  </si>
  <si>
    <t>RNV-Umlage</t>
  </si>
  <si>
    <t>912</t>
  </si>
  <si>
    <t>Campusrad-Umlage</t>
  </si>
  <si>
    <t>Ausgaben</t>
  </si>
  <si>
    <t>913</t>
  </si>
  <si>
    <t>Autonome Referate</t>
  </si>
  <si>
    <t>Ägyptologie</t>
  </si>
  <si>
    <t>Alte Geschichte</t>
  </si>
  <si>
    <t>American Studies</t>
  </si>
  <si>
    <t>Anglistik</t>
  </si>
  <si>
    <t>Assyriologie</t>
  </si>
  <si>
    <t>Biologie</t>
  </si>
  <si>
    <t>Computerlinguistik</t>
  </si>
  <si>
    <t>Deutsch als Fremdsprache</t>
  </si>
  <si>
    <t>Erziehung und Bildung</t>
  </si>
  <si>
    <t>Ethnologie</t>
  </si>
  <si>
    <t>Geographie</t>
  </si>
  <si>
    <t>Geowissenschaften</t>
  </si>
  <si>
    <t>Germanistik</t>
  </si>
  <si>
    <t>Geschichte</t>
  </si>
  <si>
    <t>Japanologie</t>
  </si>
  <si>
    <t>Jura</t>
  </si>
  <si>
    <t>Klassische Philologie</t>
  </si>
  <si>
    <t>Mathematik</t>
  </si>
  <si>
    <t>Molekulare Biotechnologie</t>
  </si>
  <si>
    <t>Musikwissenschaft</t>
  </si>
  <si>
    <t>Ostasiatische Kunstgeschichte</t>
  </si>
  <si>
    <t>Philosophie</t>
  </si>
  <si>
    <t>Politikwissenschaft</t>
  </si>
  <si>
    <t>Psychologie</t>
  </si>
  <si>
    <t>Romanistik</t>
  </si>
  <si>
    <t>Semitistik</t>
  </si>
  <si>
    <t>Sinologie</t>
  </si>
  <si>
    <t>Transcultural Studies</t>
  </si>
  <si>
    <t>Zahnmedizin</t>
  </si>
  <si>
    <t>Projekte der VS</t>
  </si>
  <si>
    <t>Verwaltungs- und Betriebsaufwand</t>
  </si>
  <si>
    <t>Reparatur/ Instandhaltung</t>
  </si>
  <si>
    <t>Büroausstattung</t>
  </si>
  <si>
    <t>Weitere Ausstattung</t>
  </si>
  <si>
    <t>Druck- und Kopierkosten</t>
  </si>
  <si>
    <t>Putz- und Pflegematerial</t>
  </si>
  <si>
    <t>Bewirtungskosten und Lebensmittel</t>
  </si>
  <si>
    <t>511</t>
  </si>
  <si>
    <t>512</t>
  </si>
  <si>
    <t>513</t>
  </si>
  <si>
    <t>514</t>
  </si>
  <si>
    <t>515</t>
  </si>
  <si>
    <t>516</t>
  </si>
  <si>
    <t>Kommunikation</t>
  </si>
  <si>
    <t>Ausstattung Bibliothek und Archiv</t>
  </si>
  <si>
    <t>Ausgaben für Dienstleistungen</t>
  </si>
  <si>
    <t>Rechtsberatung für Studierende</t>
  </si>
  <si>
    <t>3</t>
  </si>
  <si>
    <t>422</t>
  </si>
  <si>
    <t>441</t>
  </si>
  <si>
    <t>442</t>
  </si>
  <si>
    <t>612</t>
  </si>
  <si>
    <t>613</t>
  </si>
  <si>
    <t>517</t>
  </si>
  <si>
    <t>Zuweisungen</t>
  </si>
  <si>
    <t>614</t>
  </si>
  <si>
    <t>Infrastrukturausgaben Wahlen</t>
  </si>
  <si>
    <t>520</t>
  </si>
  <si>
    <t>Zinsen</t>
  </si>
  <si>
    <t>Verwaltungseinnahmen</t>
  </si>
  <si>
    <t>210</t>
  </si>
  <si>
    <t>240</t>
  </si>
  <si>
    <t>310</t>
  </si>
  <si>
    <t>340</t>
  </si>
  <si>
    <t>710</t>
  </si>
  <si>
    <t>410</t>
  </si>
  <si>
    <t>540</t>
  </si>
  <si>
    <t>Öffentlichkeitsarbeit</t>
  </si>
  <si>
    <t>Durchlaufende Ausgaben</t>
  </si>
  <si>
    <t>91</t>
  </si>
  <si>
    <t>Durchlaufende Einnahmen</t>
  </si>
  <si>
    <t>580</t>
  </si>
  <si>
    <t>531</t>
  </si>
  <si>
    <t>Dienstreisen</t>
  </si>
  <si>
    <t>532</t>
  </si>
  <si>
    <t>451</t>
  </si>
  <si>
    <t>550</t>
  </si>
  <si>
    <t>Steuern, Abgaben</t>
  </si>
  <si>
    <t>590</t>
  </si>
  <si>
    <t>Zuweisungen und Förderung</t>
  </si>
  <si>
    <t>621</t>
  </si>
  <si>
    <t>622</t>
  </si>
  <si>
    <t>631</t>
  </si>
  <si>
    <t>632</t>
  </si>
  <si>
    <t>633</t>
  </si>
  <si>
    <t>634</t>
  </si>
  <si>
    <t>Exkursionsförderung für Härtefälle</t>
  </si>
  <si>
    <t>Versicherungen</t>
  </si>
  <si>
    <t>Transportkosten</t>
  </si>
  <si>
    <t>533</t>
  </si>
  <si>
    <t>623</t>
  </si>
  <si>
    <t>721</t>
  </si>
  <si>
    <t>722</t>
  </si>
  <si>
    <t>740</t>
  </si>
  <si>
    <t>750</t>
  </si>
  <si>
    <t>Projekte und Veranstaltungen inhaltlicher Art</t>
  </si>
  <si>
    <t>211</t>
  </si>
  <si>
    <t>Zuschüsse der Universität</t>
  </si>
  <si>
    <t>221</t>
  </si>
  <si>
    <t>222</t>
  </si>
  <si>
    <t>223</t>
  </si>
  <si>
    <t>Veranstaltungen zur Orientierung, Beratung und Vernetzung</t>
  </si>
  <si>
    <t>Einnahmen aus Abschlussveranstaltungen</t>
  </si>
  <si>
    <t>Einnahmen aus kulturellen Veranstaltungen</t>
  </si>
  <si>
    <t>250</t>
  </si>
  <si>
    <t>Einnahmen Betrieb gewerblicher Art</t>
  </si>
  <si>
    <t>290</t>
  </si>
  <si>
    <t>Sonstige Einnahmen</t>
  </si>
  <si>
    <t>914</t>
  </si>
  <si>
    <t>Titelnummer</t>
  </si>
  <si>
    <t>Bezeichnung</t>
  </si>
  <si>
    <t>93</t>
  </si>
  <si>
    <t>931</t>
  </si>
  <si>
    <t>932</t>
  </si>
  <si>
    <t>933</t>
  </si>
  <si>
    <t>934</t>
  </si>
  <si>
    <t>Einstellung in zentrale Rücklage</t>
  </si>
  <si>
    <t>Summe</t>
  </si>
  <si>
    <t>Summe 4</t>
  </si>
  <si>
    <t>Summe 5</t>
  </si>
  <si>
    <t>Summe 7</t>
  </si>
  <si>
    <t>Summe 8</t>
  </si>
  <si>
    <t>Summe 6</t>
  </si>
  <si>
    <t>Summe 93</t>
  </si>
  <si>
    <t>Summe 91</t>
  </si>
  <si>
    <t>Summe 1</t>
  </si>
  <si>
    <t>Summe 2</t>
  </si>
  <si>
    <t>Summe 3</t>
  </si>
  <si>
    <t>Förderungen für Fachschaftsprojekte</t>
  </si>
  <si>
    <t>640</t>
  </si>
  <si>
    <t>560</t>
  </si>
  <si>
    <t>820</t>
  </si>
  <si>
    <t>935</t>
  </si>
  <si>
    <t>Kautionen Auszahlung</t>
  </si>
  <si>
    <t>100.01</t>
  </si>
  <si>
    <t>100.03</t>
  </si>
  <si>
    <t>915</t>
  </si>
  <si>
    <t>280</t>
  </si>
  <si>
    <t>260</t>
  </si>
  <si>
    <t>936</t>
  </si>
  <si>
    <t>Kunstgeschichte (Europäische)</t>
  </si>
  <si>
    <t>Medizin Heidelberg</t>
  </si>
  <si>
    <t>Medizin Mannheim</t>
  </si>
  <si>
    <t>Sport</t>
  </si>
  <si>
    <t>Südasienwissenschaften (Fachschaft am SAI)</t>
  </si>
  <si>
    <t>Theologie (Evangelische)</t>
  </si>
  <si>
    <t>Übersetzen und Dolmetschen (Fachschaft am IÜD)</t>
  </si>
  <si>
    <t>Volkswirtschaftslehre (VWL)</t>
  </si>
  <si>
    <t>Gesamt</t>
  </si>
  <si>
    <t>Zwischensumme</t>
  </si>
  <si>
    <t xml:space="preserve">Summe </t>
  </si>
  <si>
    <t>Gemischte Einnahmen</t>
  </si>
  <si>
    <t>551</t>
  </si>
  <si>
    <t>Dienstleistungen Wahlen</t>
  </si>
  <si>
    <t>320</t>
  </si>
  <si>
    <t>Rücklage Doktorandenkonvent</t>
  </si>
  <si>
    <t>Seminare und Fortbildungen (Teilnahme an externen)</t>
  </si>
  <si>
    <t>Verbindlichkeiten aus Vorjahresbeschlüssen</t>
  </si>
  <si>
    <t>Slavistik/Osteuropastudien</t>
  </si>
  <si>
    <t>Rückerstattung Campusrad-Umlage</t>
  </si>
  <si>
    <t>Rückerstattung RNV-Umlage</t>
  </si>
  <si>
    <t>916</t>
  </si>
  <si>
    <t>Erstattungen Umlage CampusRad</t>
  </si>
  <si>
    <t>Erstattungen Umlagen RNV</t>
  </si>
  <si>
    <t>42</t>
  </si>
  <si>
    <t>Aufwandsentschädigung Exekutiv</t>
  </si>
  <si>
    <t>Aufwandsentschädigung Legislativ</t>
  </si>
  <si>
    <t>44</t>
  </si>
  <si>
    <t>45</t>
  </si>
  <si>
    <t>Aufwandsentschädigungen Wahlen</t>
  </si>
  <si>
    <t>452</t>
  </si>
  <si>
    <t>AE Wahlen EDV</t>
  </si>
  <si>
    <t>AE Wahlen</t>
  </si>
  <si>
    <t>462</t>
  </si>
  <si>
    <t>Personalentwicklung und Schulungen</t>
  </si>
  <si>
    <t>Personalverwaltung</t>
  </si>
  <si>
    <t>46</t>
  </si>
  <si>
    <t>Personalverwaltung,- entwicklung und Schulungen</t>
  </si>
  <si>
    <t>51</t>
  </si>
  <si>
    <t>Sächlicher Verwaltungs- und Betriebsaufwand</t>
  </si>
  <si>
    <t>53</t>
  </si>
  <si>
    <t>Reise-, Teilnahme- und Transportkosten</t>
  </si>
  <si>
    <t>552</t>
  </si>
  <si>
    <t>Bankgebühren</t>
  </si>
  <si>
    <t>55</t>
  </si>
  <si>
    <t>Dienstleistungen</t>
  </si>
  <si>
    <t>Dankesgeschenke</t>
  </si>
  <si>
    <t>63</t>
  </si>
  <si>
    <t>62</t>
  </si>
  <si>
    <t>61</t>
  </si>
  <si>
    <t>Förderung von Projekten, Gruppen und Initiativen</t>
  </si>
  <si>
    <t>64</t>
  </si>
  <si>
    <t>Übergeordnete Organisationen</t>
  </si>
  <si>
    <t>65</t>
  </si>
  <si>
    <t>651</t>
  </si>
  <si>
    <t>Überregionale Vernetzungsveranstaltungen</t>
  </si>
  <si>
    <t>730</t>
  </si>
  <si>
    <t>Abschlussveranstaltungen</t>
  </si>
  <si>
    <t>Projekte und Veranstaltungen kultureller und geselliger Art</t>
  </si>
  <si>
    <t>790</t>
  </si>
  <si>
    <t>Rücklagen aus dem Vorjahr</t>
  </si>
  <si>
    <t>allgemeine Rücklagen</t>
  </si>
  <si>
    <t>Mitgliedsbeiträge zentral</t>
  </si>
  <si>
    <t>Zahlungen aus (zweckgebundenen) Rücklagen</t>
  </si>
  <si>
    <t>Entnahme aus Rücklagen</t>
  </si>
  <si>
    <t>Einstellung Rücklagen/Investitionen</t>
  </si>
  <si>
    <t>Steuereinnahmen</t>
  </si>
  <si>
    <t>Zwischenrechnung Einnahmen</t>
  </si>
  <si>
    <t>Zusagen an Gruppen und Initiativen aus dem Vorjahr</t>
  </si>
  <si>
    <t>780</t>
  </si>
  <si>
    <t>Spenden, Zuschüsse Dritter gesamt</t>
  </si>
  <si>
    <t>Zweckgebundene Rücklagen aus dem Vorjahr</t>
  </si>
  <si>
    <t>Betrieb gewerblicher Art (früher 750)</t>
  </si>
  <si>
    <t>AE Präsidium</t>
  </si>
  <si>
    <t>Theater-Umlage</t>
  </si>
  <si>
    <t>917</t>
  </si>
  <si>
    <t>Kautionen</t>
  </si>
  <si>
    <t>Durchlaufende Ausgaben (entspricht 91)</t>
  </si>
  <si>
    <t>Bewirtungskosten und Lebensmittel (intern)</t>
  </si>
  <si>
    <t>(2023: ausgehend von den neuen höhren Sätzen, sonst 32.340 Euro)</t>
  </si>
  <si>
    <t>624</t>
  </si>
  <si>
    <t>Solidartopf für kleine Fachschaften zur Unterstützung bei Projekten</t>
  </si>
  <si>
    <t>Zweckbindung:</t>
  </si>
  <si>
    <t>für zentrale Zwecke (5,50 € pro Studi * 2 Semester)</t>
  </si>
  <si>
    <t>für die Fachschaften (4,50 € pro Studi * 2 Semester)</t>
  </si>
  <si>
    <t>VS-Beiträge grundständige Studierende (10 € pro Studi * 2 Semester)</t>
  </si>
  <si>
    <t>VS-Beiträge Promotionsstudierende (10 € pro Studi * 2 Semester)</t>
  </si>
  <si>
    <t>für zentrale Zwecke (1,80 € pro Studi * 2 Semester)</t>
  </si>
  <si>
    <t>für den Doktorandenkonvent (8,20 € pro Studi * 2 Semester)</t>
  </si>
  <si>
    <t>IST</t>
  </si>
  <si>
    <t>Gruppierungen und Zuweisungen 2023</t>
  </si>
  <si>
    <t>Chemie</t>
  </si>
  <si>
    <t>Gerontologie/Care</t>
  </si>
  <si>
    <t>Klassische und Byzantinische Archäologie</t>
  </si>
  <si>
    <t>Mittelalterstudien/Cultural Heritage</t>
  </si>
  <si>
    <t>Pharmazie</t>
  </si>
  <si>
    <t>Physik</t>
  </si>
  <si>
    <t>Religionswissenschaft</t>
  </si>
  <si>
    <t xml:space="preserve">Soziologie </t>
  </si>
  <si>
    <t>Ur- und Frühgeschichte/Vorderasiatische Archäologie (UFG/VA)</t>
  </si>
  <si>
    <t>Zuweisung (VZÄ+Sockel)</t>
  </si>
  <si>
    <t>Rücklagen</t>
  </si>
  <si>
    <t>Rückfluss in die zentralen Rücklagen</t>
  </si>
  <si>
    <t>geplante Einnahmen</t>
  </si>
  <si>
    <t>Informatik + Mathematik + Physik</t>
  </si>
  <si>
    <t>Einstellungen in dezentrale Rücklagen für 2024</t>
  </si>
  <si>
    <t>Ansatz</t>
  </si>
  <si>
    <t xml:space="preserve">Fachschaften </t>
  </si>
  <si>
    <t xml:space="preserve">Doktorandenkonvent </t>
  </si>
  <si>
    <t>dezentral (Fachschaften)</t>
  </si>
  <si>
    <t>Anlage 2 zum Haushaltsplan  -  Stellenplan 2023</t>
  </si>
  <si>
    <t>Wochenstunden</t>
  </si>
  <si>
    <t>Finanzen</t>
  </si>
  <si>
    <t>Belegprüfung/Bürosupport</t>
  </si>
  <si>
    <t>Haushalt/Verwaltung</t>
  </si>
  <si>
    <t>E11</t>
  </si>
  <si>
    <t>Überweisungen/EPL-Führung</t>
  </si>
  <si>
    <t>E6</t>
  </si>
  <si>
    <t>Gremien</t>
  </si>
  <si>
    <t>Gremiensupport</t>
  </si>
  <si>
    <t>EDV</t>
  </si>
  <si>
    <t>EDV-Service</t>
  </si>
  <si>
    <t>Server/Administration</t>
  </si>
  <si>
    <t>E9b</t>
  </si>
  <si>
    <t>Büro/Service</t>
  </si>
  <si>
    <t>Ausleihe/Räume/Beschaffung</t>
  </si>
  <si>
    <t>dt. Öffarbeit/Pressearbeit</t>
  </si>
  <si>
    <t>E9a</t>
  </si>
  <si>
    <t>Dok.konvent/engl. Öffarbeit</t>
  </si>
  <si>
    <t>E4</t>
  </si>
  <si>
    <t>E5</t>
  </si>
  <si>
    <t>E7</t>
  </si>
  <si>
    <t>Anzahl Stellen</t>
  </si>
  <si>
    <t>Gruppe</t>
  </si>
  <si>
    <t>Stufe</t>
  </si>
  <si>
    <t>In % einer VZ gerundet</t>
  </si>
  <si>
    <t/>
  </si>
  <si>
    <t>gesamt</t>
  </si>
  <si>
    <t>Differenz zu 410 erklärt sich durch erst im Folgejahr getätigte Lohnzahlungen</t>
  </si>
  <si>
    <t>1500 € Referate Rekrutierung, 3000 € Werbekampagne StuRa</t>
  </si>
  <si>
    <t>zentral</t>
  </si>
  <si>
    <t>423</t>
  </si>
  <si>
    <t>AE Notlagenausschuss</t>
  </si>
  <si>
    <t>461</t>
  </si>
  <si>
    <t>HABEN</t>
  </si>
  <si>
    <t>SOLL</t>
  </si>
  <si>
    <t>Islamwissenschaft</t>
  </si>
  <si>
    <t>Listen-Basisfinanzierung</t>
  </si>
  <si>
    <t>Angefallene Kosten pro Stelle</t>
  </si>
  <si>
    <t>Soll inkl Ausstehender rückzahlungen</t>
  </si>
  <si>
    <t>n.a.</t>
  </si>
  <si>
    <r>
      <t>Endgültige Planmittel</t>
    </r>
    <r>
      <rPr>
        <b/>
        <vertAlign val="superscript"/>
        <sz val="11"/>
        <color theme="1"/>
        <rFont val="Calibri"/>
        <family val="2"/>
        <scheme val="minor"/>
      </rPr>
      <t>(inklusive Rücklagen)</t>
    </r>
  </si>
  <si>
    <t>weitere Fachschaftsprojekte</t>
  </si>
  <si>
    <t>Rücklagen der Fachschaften</t>
  </si>
  <si>
    <t>Ausgaben (ohne durchlaufende Posten, ohne Rücklagen)</t>
  </si>
  <si>
    <t>Ausgaben gesamt (ohne Rücklagen)</t>
  </si>
  <si>
    <t>NatWiss-Ball</t>
  </si>
  <si>
    <t>937</t>
  </si>
  <si>
    <t>ANSATZ 2021</t>
  </si>
  <si>
    <t>IST 2021</t>
  </si>
  <si>
    <t>ANSATZ 2022</t>
  </si>
  <si>
    <t>IST 2022</t>
  </si>
  <si>
    <t>ANSATZ 2023</t>
  </si>
  <si>
    <t>IST 2023</t>
  </si>
  <si>
    <t xml:space="preserve">Einnahmeposten für ISIC-Karten </t>
  </si>
  <si>
    <t>Corona-Notfallfonds</t>
  </si>
  <si>
    <t>(auch Campus-Rad)</t>
  </si>
  <si>
    <t>Einnahmen gesamt (ohne Rücklagen)</t>
  </si>
  <si>
    <t>Einnahmen ohne Durchlaufposten (ohne Rücklagen)</t>
  </si>
  <si>
    <t>830</t>
  </si>
  <si>
    <t>840</t>
  </si>
  <si>
    <t>599</t>
  </si>
  <si>
    <t>nicht zuzuordnende Kosten</t>
  </si>
  <si>
    <t>zu viel gezahlte Beiträge</t>
  </si>
  <si>
    <t>Rückerstattung 9€-Ticket-Beiträge</t>
  </si>
  <si>
    <t>Rückzahlung 9 €-Ticket</t>
  </si>
  <si>
    <t>Übersicht Jahreabschluss 2021-2023</t>
  </si>
  <si>
    <t>ANSATZ 2025</t>
  </si>
  <si>
    <t>553</t>
  </si>
  <si>
    <t>Serverkosten, Verwaltungssoftware IT/Finanzen</t>
  </si>
  <si>
    <t>615</t>
  </si>
  <si>
    <t>StuRaListen</t>
  </si>
  <si>
    <t>Zweckgebunde Rücklagen</t>
  </si>
  <si>
    <t>(Darstellung zur Vergleichbarkeit angepasst)</t>
  </si>
  <si>
    <t>Investitionen (Kontostand zum 31.12.)</t>
  </si>
  <si>
    <t>Rücklagen aus dem Vorjahr (Kontostand 01.01.)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</si>
</sst>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-407]General"/>
  </numFmts>
  <fonts count="2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Arial"/>
      <family val="2"/>
      <charset val="1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0" fillId="0" borderId="0"/>
  </cellStyleXfs>
  <cellXfs count="250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2" fillId="0" borderId="0" xfId="0" applyFont="1" applyFill="1" applyBorder="1"/>
    <xf numFmtId="0" fontId="0" fillId="0" borderId="0" xfId="0" applyFont="1"/>
    <xf numFmtId="164" fontId="0" fillId="0" borderId="0" xfId="0" applyNumberFormat="1" applyFont="1"/>
    <xf numFmtId="49" fontId="0" fillId="0" borderId="0" xfId="0" applyNumberFormat="1" applyFont="1"/>
    <xf numFmtId="164" fontId="0" fillId="0" borderId="0" xfId="0" applyNumberFormat="1" applyFont="1" applyFill="1"/>
    <xf numFmtId="49" fontId="0" fillId="0" borderId="0" xfId="0" applyNumberFormat="1" applyFont="1" applyFill="1"/>
    <xf numFmtId="0" fontId="4" fillId="0" borderId="0" xfId="0" applyFont="1" applyAlignment="1">
      <alignment horizontal="center"/>
    </xf>
    <xf numFmtId="0" fontId="0" fillId="0" borderId="1" xfId="2" applyFont="1" applyFill="1" applyBorder="1"/>
    <xf numFmtId="0" fontId="0" fillId="0" borderId="0" xfId="0"/>
    <xf numFmtId="0" fontId="0" fillId="0" borderId="0" xfId="0" applyAlignment="1">
      <alignment wrapText="1"/>
    </xf>
    <xf numFmtId="44" fontId="0" fillId="0" borderId="1" xfId="5" applyFont="1" applyBorder="1"/>
    <xf numFmtId="0" fontId="2" fillId="0" borderId="1" xfId="0" applyFont="1" applyFill="1" applyBorder="1"/>
    <xf numFmtId="0" fontId="9" fillId="0" borderId="0" xfId="0" applyFont="1"/>
    <xf numFmtId="0" fontId="2" fillId="0" borderId="1" xfId="0" applyFont="1" applyBorder="1"/>
    <xf numFmtId="44" fontId="2" fillId="0" borderId="1" xfId="5" applyFont="1" applyBorder="1"/>
    <xf numFmtId="44" fontId="0" fillId="0" borderId="1" xfId="5" applyFont="1" applyFill="1" applyBorder="1"/>
    <xf numFmtId="44" fontId="2" fillId="0" borderId="1" xfId="0" applyNumberFormat="1" applyFont="1" applyBorder="1"/>
    <xf numFmtId="8" fontId="0" fillId="0" borderId="0" xfId="0" applyNumberFormat="1" applyFont="1"/>
    <xf numFmtId="0" fontId="3" fillId="0" borderId="0" xfId="0" applyFont="1" applyFill="1" applyAlignment="1"/>
    <xf numFmtId="49" fontId="0" fillId="0" borderId="1" xfId="0" applyNumberFormat="1" applyFont="1" applyFill="1" applyBorder="1"/>
    <xf numFmtId="0" fontId="0" fillId="0" borderId="1" xfId="0" applyFont="1" applyFill="1" applyBorder="1"/>
    <xf numFmtId="164" fontId="2" fillId="0" borderId="0" xfId="0" applyNumberFormat="1" applyFont="1" applyFill="1"/>
    <xf numFmtId="0" fontId="12" fillId="0" borderId="0" xfId="0" applyFont="1" applyFill="1" applyBorder="1"/>
    <xf numFmtId="0" fontId="0" fillId="0" borderId="0" xfId="0" applyFont="1" applyFill="1" applyBorder="1"/>
    <xf numFmtId="49" fontId="0" fillId="0" borderId="0" xfId="0" applyNumberFormat="1" applyFont="1" applyFill="1" applyBorder="1"/>
    <xf numFmtId="164" fontId="0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3" fillId="0" borderId="1" xfId="1" applyFont="1" applyFill="1" applyBorder="1"/>
    <xf numFmtId="8" fontId="0" fillId="5" borderId="0" xfId="0" applyNumberFormat="1" applyFont="1" applyFill="1" applyBorder="1"/>
    <xf numFmtId="0" fontId="0" fillId="5" borderId="5" xfId="0" applyFont="1" applyFill="1" applyBorder="1"/>
    <xf numFmtId="164" fontId="12" fillId="5" borderId="0" xfId="0" applyNumberFormat="1" applyFont="1" applyFill="1" applyBorder="1"/>
    <xf numFmtId="164" fontId="0" fillId="5" borderId="5" xfId="0" applyNumberFormat="1" applyFont="1" applyFill="1" applyBorder="1"/>
    <xf numFmtId="8" fontId="0" fillId="0" borderId="0" xfId="0" applyNumberFormat="1" applyFont="1" applyFill="1" applyBorder="1"/>
    <xf numFmtId="8" fontId="0" fillId="5" borderId="5" xfId="0" applyNumberFormat="1" applyFont="1" applyFill="1" applyBorder="1"/>
    <xf numFmtId="8" fontId="0" fillId="0" borderId="0" xfId="0" applyNumberFormat="1"/>
    <xf numFmtId="8" fontId="0" fillId="5" borderId="9" xfId="0" applyNumberFormat="1" applyFont="1" applyFill="1" applyBorder="1"/>
    <xf numFmtId="0" fontId="0" fillId="5" borderId="4" xfId="0" applyFont="1" applyFill="1" applyBorder="1"/>
    <xf numFmtId="49" fontId="0" fillId="0" borderId="10" xfId="0" applyNumberFormat="1" applyFont="1" applyFill="1" applyBorder="1"/>
    <xf numFmtId="0" fontId="0" fillId="0" borderId="11" xfId="0" applyFont="1" applyFill="1" applyBorder="1"/>
    <xf numFmtId="0" fontId="12" fillId="0" borderId="0" xfId="0" quotePrefix="1" applyFont="1" applyBorder="1"/>
    <xf numFmtId="49" fontId="0" fillId="0" borderId="11" xfId="0" applyNumberFormat="1" applyFont="1" applyFill="1" applyBorder="1"/>
    <xf numFmtId="8" fontId="0" fillId="5" borderId="6" xfId="0" applyNumberFormat="1" applyFont="1" applyFill="1" applyBorder="1"/>
    <xf numFmtId="0" fontId="0" fillId="0" borderId="11" xfId="0" applyFont="1" applyBorder="1"/>
    <xf numFmtId="0" fontId="2" fillId="0" borderId="6" xfId="0" applyFont="1" applyFill="1" applyBorder="1"/>
    <xf numFmtId="0" fontId="0" fillId="5" borderId="7" xfId="0" applyFont="1" applyFill="1" applyBorder="1"/>
    <xf numFmtId="49" fontId="2" fillId="0" borderId="3" xfId="0" applyNumberFormat="1" applyFont="1" applyFill="1" applyBorder="1"/>
    <xf numFmtId="8" fontId="2" fillId="5" borderId="0" xfId="0" applyNumberFormat="1" applyFont="1" applyFill="1" applyBorder="1"/>
    <xf numFmtId="0" fontId="2" fillId="5" borderId="4" xfId="0" applyFont="1" applyFill="1" applyBorder="1"/>
    <xf numFmtId="8" fontId="2" fillId="5" borderId="9" xfId="0" applyNumberFormat="1" applyFont="1" applyFill="1" applyBorder="1"/>
    <xf numFmtId="0" fontId="0" fillId="0" borderId="9" xfId="0" applyFont="1" applyFill="1" applyBorder="1"/>
    <xf numFmtId="0" fontId="2" fillId="0" borderId="12" xfId="0" applyFont="1" applyFill="1" applyBorder="1"/>
    <xf numFmtId="49" fontId="0" fillId="6" borderId="0" xfId="0" applyNumberFormat="1" applyFont="1" applyFill="1" applyBorder="1"/>
    <xf numFmtId="0" fontId="0" fillId="6" borderId="0" xfId="0" applyFont="1" applyFill="1" applyBorder="1"/>
    <xf numFmtId="8" fontId="0" fillId="6" borderId="0" xfId="0" applyNumberFormat="1" applyFont="1" applyFill="1" applyBorder="1"/>
    <xf numFmtId="8" fontId="0" fillId="6" borderId="6" xfId="0" applyNumberFormat="1" applyFont="1" applyFill="1" applyBorder="1"/>
    <xf numFmtId="0" fontId="0" fillId="6" borderId="13" xfId="0" applyFont="1" applyFill="1" applyBorder="1"/>
    <xf numFmtId="0" fontId="0" fillId="6" borderId="0" xfId="0" applyFill="1"/>
    <xf numFmtId="49" fontId="3" fillId="6" borderId="0" xfId="0" applyNumberFormat="1" applyFont="1" applyFill="1"/>
    <xf numFmtId="0" fontId="3" fillId="6" borderId="0" xfId="0" applyFont="1" applyFill="1"/>
    <xf numFmtId="0" fontId="0" fillId="6" borderId="0" xfId="0" applyFill="1" applyBorder="1"/>
    <xf numFmtId="0" fontId="0" fillId="6" borderId="6" xfId="0" applyFont="1" applyFill="1" applyBorder="1"/>
    <xf numFmtId="0" fontId="0" fillId="5" borderId="0" xfId="0" applyFont="1" applyFill="1" applyBorder="1"/>
    <xf numFmtId="49" fontId="2" fillId="7" borderId="12" xfId="0" applyNumberFormat="1" applyFont="1" applyFill="1" applyBorder="1"/>
    <xf numFmtId="0" fontId="2" fillId="7" borderId="6" xfId="0" applyFont="1" applyFill="1" applyBorder="1"/>
    <xf numFmtId="164" fontId="2" fillId="7" borderId="6" xfId="0" applyNumberFormat="1" applyFont="1" applyFill="1" applyBorder="1"/>
    <xf numFmtId="164" fontId="2" fillId="7" borderId="7" xfId="0" applyNumberFormat="1" applyFont="1" applyFill="1" applyBorder="1"/>
    <xf numFmtId="164" fontId="2" fillId="7" borderId="12" xfId="0" applyNumberFormat="1" applyFont="1" applyFill="1" applyBorder="1"/>
    <xf numFmtId="8" fontId="0" fillId="7" borderId="6" xfId="0" applyNumberFormat="1" applyFont="1" applyFill="1" applyBorder="1"/>
    <xf numFmtId="8" fontId="0" fillId="7" borderId="7" xfId="0" applyNumberFormat="1" applyFont="1" applyFill="1" applyBorder="1"/>
    <xf numFmtId="164" fontId="15" fillId="7" borderId="7" xfId="0" applyNumberFormat="1" applyFont="1" applyFill="1" applyBorder="1"/>
    <xf numFmtId="49" fontId="2" fillId="7" borderId="6" xfId="0" applyNumberFormat="1" applyFont="1" applyFill="1" applyBorder="1"/>
    <xf numFmtId="0" fontId="0" fillId="7" borderId="7" xfId="0" applyFont="1" applyFill="1" applyBorder="1"/>
    <xf numFmtId="8" fontId="12" fillId="5" borderId="0" xfId="0" applyNumberFormat="1" applyFont="1" applyFill="1" applyBorder="1"/>
    <xf numFmtId="4" fontId="0" fillId="0" borderId="0" xfId="0" applyNumberFormat="1" applyAlignment="1">
      <alignment horizontal="left"/>
    </xf>
    <xf numFmtId="49" fontId="2" fillId="7" borderId="3" xfId="0" applyNumberFormat="1" applyFont="1" applyFill="1" applyBorder="1"/>
    <xf numFmtId="0" fontId="2" fillId="7" borderId="9" xfId="0" applyFont="1" applyFill="1" applyBorder="1"/>
    <xf numFmtId="49" fontId="0" fillId="0" borderId="16" xfId="0" applyNumberFormat="1" applyFont="1" applyFill="1" applyBorder="1"/>
    <xf numFmtId="0" fontId="0" fillId="0" borderId="0" xfId="0" applyFont="1" applyFill="1"/>
    <xf numFmtId="0" fontId="12" fillId="0" borderId="0" xfId="0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4" fontId="10" fillId="0" borderId="1" xfId="6" applyFont="1" applyFill="1" applyBorder="1"/>
    <xf numFmtId="8" fontId="0" fillId="0" borderId="5" xfId="0" applyNumberFormat="1" applyBorder="1"/>
    <xf numFmtId="8" fontId="0" fillId="0" borderId="1" xfId="0" applyNumberFormat="1" applyBorder="1"/>
    <xf numFmtId="8" fontId="0" fillId="0" borderId="18" xfId="0" applyNumberFormat="1" applyBorder="1"/>
    <xf numFmtId="0" fontId="0" fillId="0" borderId="0" xfId="0" applyAlignment="1">
      <alignment horizontal="left" vertical="top" wrapText="1"/>
    </xf>
    <xf numFmtId="8" fontId="2" fillId="0" borderId="17" xfId="0" applyNumberFormat="1" applyFont="1" applyBorder="1" applyAlignment="1"/>
    <xf numFmtId="8" fontId="0" fillId="0" borderId="0" xfId="0" applyNumberFormat="1" applyBorder="1"/>
    <xf numFmtId="164" fontId="0" fillId="0" borderId="1" xfId="0" applyNumberFormat="1" applyBorder="1"/>
    <xf numFmtId="49" fontId="2" fillId="0" borderId="10" xfId="0" applyNumberFormat="1" applyFont="1" applyFill="1" applyBorder="1"/>
    <xf numFmtId="49" fontId="2" fillId="0" borderId="1" xfId="0" applyNumberFormat="1" applyFont="1" applyFill="1" applyBorder="1"/>
    <xf numFmtId="0" fontId="2" fillId="0" borderId="15" xfId="0" applyFont="1" applyFill="1" applyBorder="1"/>
    <xf numFmtId="49" fontId="2" fillId="0" borderId="11" xfId="0" applyNumberFormat="1" applyFont="1" applyFill="1" applyBorder="1"/>
    <xf numFmtId="8" fontId="0" fillId="0" borderId="2" xfId="0" applyNumberFormat="1" applyBorder="1"/>
    <xf numFmtId="8" fontId="2" fillId="0" borderId="1" xfId="0" applyNumberFormat="1" applyFont="1" applyBorder="1"/>
    <xf numFmtId="8" fontId="2" fillId="0" borderId="18" xfId="0" applyNumberFormat="1" applyFont="1" applyBorder="1"/>
    <xf numFmtId="164" fontId="0" fillId="0" borderId="0" xfId="0" applyNumberFormat="1"/>
    <xf numFmtId="0" fontId="16" fillId="0" borderId="0" xfId="0" applyFont="1"/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/>
    <xf numFmtId="0" fontId="17" fillId="8" borderId="3" xfId="0" applyFont="1" applyFill="1" applyBorder="1" applyAlignment="1">
      <alignment vertical="center"/>
    </xf>
    <xf numFmtId="0" fontId="17" fillId="8" borderId="9" xfId="0" applyFont="1" applyFill="1" applyBorder="1" applyAlignment="1">
      <alignment horizontal="left" vertical="center"/>
    </xf>
    <xf numFmtId="0" fontId="10" fillId="8" borderId="9" xfId="0" applyFont="1" applyFill="1" applyBorder="1" applyAlignment="1">
      <alignment horizontal="left" vertical="center"/>
    </xf>
    <xf numFmtId="0" fontId="17" fillId="8" borderId="11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2" fontId="0" fillId="0" borderId="0" xfId="0" applyNumberFormat="1" applyFont="1" applyBorder="1" applyAlignment="1"/>
    <xf numFmtId="0" fontId="10" fillId="8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10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0" borderId="6" xfId="0" applyFont="1" applyBorder="1" applyAlignment="1"/>
    <xf numFmtId="0" fontId="10" fillId="8" borderId="4" xfId="0" applyFont="1" applyFill="1" applyBorder="1" applyAlignment="1">
      <alignment horizontal="left" vertical="center"/>
    </xf>
    <xf numFmtId="0" fontId="20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1" fontId="0" fillId="0" borderId="5" xfId="0" applyNumberFormat="1" applyFont="1" applyBorder="1" applyAlignment="1"/>
    <xf numFmtId="0" fontId="19" fillId="0" borderId="12" xfId="0" applyFont="1" applyBorder="1"/>
    <xf numFmtId="0" fontId="19" fillId="0" borderId="6" xfId="0" applyFont="1" applyBorder="1"/>
    <xf numFmtId="0" fontId="19" fillId="0" borderId="6" xfId="0" applyFont="1" applyBorder="1" applyAlignment="1"/>
    <xf numFmtId="0" fontId="19" fillId="0" borderId="7" xfId="0" applyFont="1" applyBorder="1" applyAlignment="1"/>
    <xf numFmtId="0" fontId="10" fillId="8" borderId="9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164" fontId="0" fillId="0" borderId="21" xfId="0" applyNumberFormat="1" applyBorder="1"/>
    <xf numFmtId="164" fontId="0" fillId="0" borderId="22" xfId="0" applyNumberFormat="1" applyBorder="1"/>
    <xf numFmtId="164" fontId="10" fillId="0" borderId="21" xfId="0" applyNumberFormat="1" applyFont="1" applyBorder="1" applyAlignment="1">
      <alignment vertical="center"/>
    </xf>
    <xf numFmtId="164" fontId="0" fillId="9" borderId="23" xfId="0" applyNumberFormat="1" applyFill="1" applyBorder="1"/>
    <xf numFmtId="0" fontId="2" fillId="0" borderId="20" xfId="0" applyFont="1" applyBorder="1" applyAlignment="1">
      <alignment horizontal="center"/>
    </xf>
    <xf numFmtId="0" fontId="0" fillId="7" borderId="12" xfId="0" applyFont="1" applyFill="1" applyBorder="1"/>
    <xf numFmtId="0" fontId="12" fillId="5" borderId="5" xfId="0" applyFont="1" applyFill="1" applyBorder="1"/>
    <xf numFmtId="8" fontId="0" fillId="5" borderId="24" xfId="0" applyNumberFormat="1" applyFont="1" applyFill="1" applyBorder="1"/>
    <xf numFmtId="8" fontId="0" fillId="7" borderId="12" xfId="0" applyNumberFormat="1" applyFont="1" applyFill="1" applyBorder="1"/>
    <xf numFmtId="0" fontId="0" fillId="5" borderId="9" xfId="0" applyFont="1" applyFill="1" applyBorder="1"/>
    <xf numFmtId="49" fontId="12" fillId="0" borderId="10" xfId="0" applyNumberFormat="1" applyFont="1" applyFill="1" applyBorder="1"/>
    <xf numFmtId="0" fontId="12" fillId="0" borderId="1" xfId="0" applyFont="1" applyFill="1" applyBorder="1"/>
    <xf numFmtId="49" fontId="12" fillId="0" borderId="1" xfId="0" applyNumberFormat="1" applyFont="1" applyFill="1" applyBorder="1"/>
    <xf numFmtId="8" fontId="12" fillId="5" borderId="5" xfId="0" applyNumberFormat="1" applyFont="1" applyFill="1" applyBorder="1"/>
    <xf numFmtId="8" fontId="12" fillId="5" borderId="24" xfId="0" applyNumberFormat="1" applyFont="1" applyFill="1" applyBorder="1"/>
    <xf numFmtId="8" fontId="21" fillId="5" borderId="24" xfId="0" applyNumberFormat="1" applyFont="1" applyFill="1" applyBorder="1"/>
    <xf numFmtId="8" fontId="2" fillId="5" borderId="24" xfId="0" applyNumberFormat="1" applyFont="1" applyFill="1" applyBorder="1"/>
    <xf numFmtId="164" fontId="15" fillId="7" borderId="6" xfId="0" applyNumberFormat="1" applyFont="1" applyFill="1" applyBorder="1"/>
    <xf numFmtId="0" fontId="0" fillId="5" borderId="0" xfId="0" applyFill="1" applyBorder="1"/>
    <xf numFmtId="49" fontId="0" fillId="0" borderId="3" xfId="0" applyNumberFormat="1" applyFont="1" applyFill="1" applyBorder="1"/>
    <xf numFmtId="0" fontId="0" fillId="0" borderId="0" xfId="0" applyFont="1" applyBorder="1"/>
    <xf numFmtId="49" fontId="0" fillId="0" borderId="12" xfId="0" applyNumberFormat="1" applyFont="1" applyFill="1" applyBorder="1"/>
    <xf numFmtId="164" fontId="0" fillId="5" borderId="6" xfId="0" applyNumberFormat="1" applyFont="1" applyFill="1" applyBorder="1"/>
    <xf numFmtId="0" fontId="2" fillId="0" borderId="9" xfId="0" applyFont="1" applyFill="1" applyBorder="1"/>
    <xf numFmtId="164" fontId="0" fillId="5" borderId="9" xfId="0" applyNumberFormat="1" applyFont="1" applyFill="1" applyBorder="1"/>
    <xf numFmtId="0" fontId="12" fillId="5" borderId="0" xfId="0" applyFont="1" applyFill="1" applyBorder="1"/>
    <xf numFmtId="164" fontId="12" fillId="5" borderId="24" xfId="3" applyNumberFormat="1" applyFont="1" applyFill="1" applyBorder="1"/>
    <xf numFmtId="0" fontId="12" fillId="0" borderId="15" xfId="0" applyFont="1" applyFill="1" applyBorder="1"/>
    <xf numFmtId="49" fontId="12" fillId="0" borderId="11" xfId="0" applyNumberFormat="1" applyFont="1" applyFill="1" applyBorder="1"/>
    <xf numFmtId="49" fontId="12" fillId="0" borderId="14" xfId="0" applyNumberFormat="1" applyFont="1" applyFill="1" applyBorder="1"/>
    <xf numFmtId="0" fontId="0" fillId="0" borderId="19" xfId="0" applyFont="1" applyFill="1" applyBorder="1"/>
    <xf numFmtId="49" fontId="0" fillId="0" borderId="15" xfId="0" applyNumberFormat="1" applyFont="1" applyFill="1" applyBorder="1"/>
    <xf numFmtId="49" fontId="12" fillId="0" borderId="2" xfId="0" applyNumberFormat="1" applyFont="1" applyFill="1" applyBorder="1"/>
    <xf numFmtId="0" fontId="12" fillId="0" borderId="19" xfId="0" applyFont="1" applyFill="1" applyBorder="1"/>
    <xf numFmtId="49" fontId="0" fillId="0" borderId="2" xfId="0" applyNumberFormat="1" applyFont="1" applyFill="1" applyBorder="1"/>
    <xf numFmtId="49" fontId="0" fillId="0" borderId="19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10" fillId="0" borderId="1" xfId="7" applyBorder="1"/>
    <xf numFmtId="8" fontId="0" fillId="0" borderId="11" xfId="0" applyNumberFormat="1" applyFont="1" applyFill="1" applyBorder="1"/>
    <xf numFmtId="8" fontId="0" fillId="10" borderId="0" xfId="0" applyNumberFormat="1" applyFont="1" applyFill="1" applyBorder="1"/>
    <xf numFmtId="0" fontId="0" fillId="10" borderId="5" xfId="0" applyFont="1" applyFill="1" applyBorder="1"/>
    <xf numFmtId="8" fontId="0" fillId="10" borderId="3" xfId="0" applyNumberFormat="1" applyFont="1" applyFill="1" applyBorder="1"/>
    <xf numFmtId="8" fontId="0" fillId="10" borderId="5" xfId="0" applyNumberFormat="1" applyFont="1" applyFill="1" applyBorder="1"/>
    <xf numFmtId="8" fontId="0" fillId="10" borderId="11" xfId="0" applyNumberFormat="1" applyFont="1" applyFill="1" applyBorder="1"/>
    <xf numFmtId="164" fontId="12" fillId="10" borderId="11" xfId="0" applyNumberFormat="1" applyFont="1" applyFill="1" applyBorder="1"/>
    <xf numFmtId="8" fontId="2" fillId="10" borderId="0" xfId="0" applyNumberFormat="1" applyFont="1" applyFill="1" applyBorder="1"/>
    <xf numFmtId="0" fontId="2" fillId="10" borderId="4" xfId="0" applyFont="1" applyFill="1" applyBorder="1"/>
    <xf numFmtId="8" fontId="12" fillId="10" borderId="11" xfId="0" applyNumberFormat="1" applyFont="1" applyFill="1" applyBorder="1"/>
    <xf numFmtId="8" fontId="12" fillId="10" borderId="0" xfId="0" applyNumberFormat="1" applyFont="1" applyFill="1" applyBorder="1"/>
    <xf numFmtId="8" fontId="2" fillId="10" borderId="3" xfId="0" applyNumberFormat="1" applyFont="1" applyFill="1" applyBorder="1"/>
    <xf numFmtId="0" fontId="0" fillId="10" borderId="4" xfId="0" applyFont="1" applyFill="1" applyBorder="1"/>
    <xf numFmtId="8" fontId="0" fillId="10" borderId="9" xfId="0" applyNumberFormat="1" applyFont="1" applyFill="1" applyBorder="1"/>
    <xf numFmtId="164" fontId="0" fillId="10" borderId="5" xfId="0" applyNumberFormat="1" applyFont="1" applyFill="1" applyBorder="1"/>
    <xf numFmtId="8" fontId="0" fillId="10" borderId="6" xfId="0" applyNumberFormat="1" applyFont="1" applyFill="1" applyBorder="1"/>
    <xf numFmtId="0" fontId="0" fillId="10" borderId="7" xfId="0" applyFont="1" applyFill="1" applyBorder="1"/>
    <xf numFmtId="8" fontId="22" fillId="10" borderId="11" xfId="0" applyNumberFormat="1" applyFont="1" applyFill="1" applyBorder="1"/>
    <xf numFmtId="8" fontId="2" fillId="10" borderId="11" xfId="0" applyNumberFormat="1" applyFont="1" applyFill="1" applyBorder="1"/>
    <xf numFmtId="8" fontId="21" fillId="10" borderId="11" xfId="0" applyNumberFormat="1" applyFont="1" applyFill="1" applyBorder="1"/>
    <xf numFmtId="164" fontId="12" fillId="10" borderId="11" xfId="3" applyNumberFormat="1" applyFont="1" applyFill="1" applyBorder="1"/>
    <xf numFmtId="44" fontId="0" fillId="10" borderId="5" xfId="0" applyNumberFormat="1" applyFont="1" applyFill="1" applyBorder="1"/>
    <xf numFmtId="44" fontId="12" fillId="10" borderId="11" xfId="0" applyNumberFormat="1" applyFont="1" applyFill="1" applyBorder="1"/>
    <xf numFmtId="0" fontId="0" fillId="10" borderId="5" xfId="0" applyFill="1" applyBorder="1"/>
    <xf numFmtId="164" fontId="0" fillId="10" borderId="3" xfId="0" applyNumberFormat="1" applyFont="1" applyFill="1" applyBorder="1"/>
    <xf numFmtId="164" fontId="0" fillId="10" borderId="4" xfId="0" applyNumberFormat="1" applyFont="1" applyFill="1" applyBorder="1"/>
    <xf numFmtId="164" fontId="0" fillId="10" borderId="12" xfId="0" applyNumberFormat="1" applyFont="1" applyFill="1" applyBorder="1"/>
    <xf numFmtId="164" fontId="0" fillId="10" borderId="7" xfId="0" applyNumberFormat="1" applyFont="1" applyFill="1" applyBorder="1"/>
    <xf numFmtId="8" fontId="0" fillId="0" borderId="9" xfId="0" applyNumberFormat="1" applyFont="1" applyFill="1" applyBorder="1"/>
    <xf numFmtId="8" fontId="0" fillId="0" borderId="3" xfId="0" applyNumberFormat="1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14" fillId="0" borderId="0" xfId="0" applyFont="1" applyFill="1" applyAlignment="1">
      <alignment horizontal="center" vertical="center"/>
    </xf>
    <xf numFmtId="0" fontId="2" fillId="6" borderId="1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8" fontId="2" fillId="0" borderId="17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8" fontId="0" fillId="0" borderId="0" xfId="0" applyNumberFormat="1" applyFont="1" applyBorder="1"/>
    <xf numFmtId="8" fontId="0" fillId="0" borderId="19" xfId="0" applyNumberFormat="1" applyFont="1" applyFill="1" applyBorder="1"/>
    <xf numFmtId="8" fontId="0" fillId="0" borderId="16" xfId="0" applyNumberFormat="1" applyFont="1" applyFill="1" applyBorder="1"/>
    <xf numFmtId="0" fontId="0" fillId="0" borderId="25" xfId="0" applyFont="1" applyFill="1" applyBorder="1"/>
    <xf numFmtId="0" fontId="0" fillId="0" borderId="15" xfId="0" applyFont="1" applyFill="1" applyBorder="1"/>
    <xf numFmtId="0" fontId="12" fillId="0" borderId="0" xfId="2" applyFont="1" applyFill="1" applyBorder="1"/>
    <xf numFmtId="0" fontId="23" fillId="0" borderId="17" xfId="0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15" fillId="0" borderId="0" xfId="0" applyNumberFormat="1" applyFont="1" applyFill="1" applyBorder="1"/>
    <xf numFmtId="44" fontId="0" fillId="0" borderId="0" xfId="0" applyNumberFormat="1" applyFont="1" applyFill="1" applyBorder="1"/>
    <xf numFmtId="0" fontId="0" fillId="0" borderId="0" xfId="0" applyFill="1" applyBorder="1"/>
    <xf numFmtId="8" fontId="2" fillId="0" borderId="26" xfId="0" applyNumberFormat="1" applyFont="1" applyBorder="1"/>
    <xf numFmtId="0" fontId="2" fillId="0" borderId="27" xfId="0" applyFont="1" applyBorder="1" applyAlignment="1">
      <alignment horizontal="right"/>
    </xf>
    <xf numFmtId="8" fontId="0" fillId="5" borderId="11" xfId="0" applyNumberFormat="1" applyFont="1" applyFill="1" applyBorder="1"/>
    <xf numFmtId="8" fontId="0" fillId="5" borderId="3" xfId="0" applyNumberFormat="1" applyFont="1" applyFill="1" applyBorder="1"/>
    <xf numFmtId="164" fontId="12" fillId="5" borderId="11" xfId="0" applyNumberFormat="1" applyFont="1" applyFill="1" applyBorder="1"/>
    <xf numFmtId="8" fontId="12" fillId="5" borderId="11" xfId="0" applyNumberFormat="1" applyFont="1" applyFill="1" applyBorder="1"/>
    <xf numFmtId="8" fontId="2" fillId="5" borderId="3" xfId="0" applyNumberFormat="1" applyFont="1" applyFill="1" applyBorder="1"/>
    <xf numFmtId="8" fontId="0" fillId="5" borderId="12" xfId="0" applyNumberFormat="1" applyFont="1" applyFill="1" applyBorder="1"/>
    <xf numFmtId="8" fontId="0" fillId="5" borderId="4" xfId="0" applyNumberFormat="1" applyFont="1" applyFill="1" applyBorder="1"/>
    <xf numFmtId="8" fontId="2" fillId="5" borderId="11" xfId="0" applyNumberFormat="1" applyFont="1" applyFill="1" applyBorder="1"/>
    <xf numFmtId="8" fontId="21" fillId="5" borderId="11" xfId="0" applyNumberFormat="1" applyFont="1" applyFill="1" applyBorder="1"/>
    <xf numFmtId="164" fontId="12" fillId="5" borderId="11" xfId="3" applyNumberFormat="1" applyFont="1" applyFill="1" applyBorder="1"/>
    <xf numFmtId="0" fontId="0" fillId="5" borderId="5" xfId="0" applyFill="1" applyBorder="1"/>
    <xf numFmtId="164" fontId="0" fillId="5" borderId="3" xfId="0" applyNumberFormat="1" applyFont="1" applyFill="1" applyBorder="1"/>
    <xf numFmtId="164" fontId="0" fillId="5" borderId="4" xfId="0" applyNumberFormat="1" applyFont="1" applyFill="1" applyBorder="1"/>
    <xf numFmtId="164" fontId="0" fillId="5" borderId="12" xfId="0" applyNumberFormat="1" applyFont="1" applyFill="1" applyBorder="1"/>
    <xf numFmtId="164" fontId="0" fillId="5" borderId="7" xfId="0" applyNumberFormat="1" applyFont="1" applyFill="1" applyBorder="1"/>
    <xf numFmtId="8" fontId="0" fillId="0" borderId="1" xfId="0" applyNumberFormat="1" applyFont="1" applyFill="1" applyBorder="1"/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/>
    <xf numFmtId="164" fontId="12" fillId="5" borderId="0" xfId="3" applyNumberFormat="1" applyFont="1" applyFill="1" applyBorder="1"/>
    <xf numFmtId="49" fontId="12" fillId="0" borderId="1" xfId="0" applyNumberFormat="1" applyFont="1" applyBorder="1"/>
    <xf numFmtId="0" fontId="12" fillId="0" borderId="1" xfId="0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164" fontId="0" fillId="0" borderId="0" xfId="0" applyNumberFormat="1" applyFont="1" applyBorder="1"/>
  </cellXfs>
  <cellStyles count="8">
    <cellStyle name="Excel Built-in Normal" xfId="7" xr:uid="{B415A8DB-7854-4B84-A446-56FF91DA8CB4}"/>
    <cellStyle name="Gut" xfId="1" builtinId="26"/>
    <cellStyle name="Neutral" xfId="3" builtinId="28"/>
    <cellStyle name="Schlecht" xfId="2" builtinId="27"/>
    <cellStyle name="Standard" xfId="0" builtinId="0"/>
    <cellStyle name="Standard 2" xfId="4" xr:uid="{00000000-0005-0000-0000-000004000000}"/>
    <cellStyle name="Währung" xfId="6" builtinId="4"/>
    <cellStyle name="Währung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165101</xdr:colOff>
      <xdr:row>0</xdr:row>
      <xdr:rowOff>38100</xdr:rowOff>
    </xdr:from>
    <xdr:to>
      <xdr:col>8</xdr:col>
      <xdr:colOff>1042148</xdr:colOff>
      <xdr:row>0</xdr:row>
      <xdr:rowOff>651942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8301" y="38100"/>
          <a:ext cx="2120900" cy="613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22"/>
  <sheetViews>
    <sheetView tabSelected="1" topLeftCell="F1" zoomScale="85" zoomScaleNormal="85" workbookViewId="0">
      <selection activeCell="E221" sqref="E221"/>
    </sheetView>
  </sheetViews>
  <sheetFormatPr baseColWidth="10" defaultRowHeight="15" x14ac:dyDescent="0.25"/>
  <cols>
    <col min="1" max="1" width="14.28515625" style="6" customWidth="1"/>
    <col min="2" max="2" width="72" style="6" customWidth="1"/>
    <col min="3" max="3" width="17.85546875" style="6" customWidth="1"/>
    <col min="4" max="4" width="19" style="6" customWidth="1"/>
    <col min="5" max="5" width="19.85546875" style="6" customWidth="1"/>
    <col min="6" max="6" width="16.7109375" style="6" customWidth="1"/>
    <col min="7" max="7" width="17.85546875" style="6" customWidth="1"/>
    <col min="8" max="8" width="18.5703125" style="6" customWidth="1"/>
    <col min="9" max="9" width="20.85546875" style="6" customWidth="1"/>
    <col min="10" max="10" width="15.28515625" style="6" customWidth="1"/>
    <col min="11" max="11" width="19.28515625" style="7" customWidth="1"/>
    <col min="12" max="12" width="18.7109375" style="7" customWidth="1"/>
    <col min="13" max="13" width="15.28515625" style="22" customWidth="1"/>
    <col min="14" max="14" width="17.28515625" style="6" customWidth="1"/>
    <col min="15" max="15" width="9.28515625" style="6" customWidth="1"/>
    <col min="16" max="16" width="22.28515625" style="22" customWidth="1"/>
    <col min="17" max="17" width="21.85546875" customWidth="1"/>
    <col min="18" max="18" width="16.85546875" customWidth="1"/>
    <col min="20" max="20" width="12.140625" customWidth="1"/>
    <col min="21" max="21" width="12.28515625" customWidth="1"/>
    <col min="22" max="23" width="11.42578125" customWidth="1"/>
    <col min="24" max="25" width="3.140625" customWidth="1"/>
  </cols>
  <sheetData>
    <row r="1" spans="1:18" ht="62.25" customHeight="1" x14ac:dyDescent="0.25">
      <c r="A1" s="205" t="s">
        <v>343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8" s="13" customFormat="1" ht="20.25" customHeight="1" thickBot="1" x14ac:dyDescent="0.3">
      <c r="A2" s="202"/>
      <c r="B2" s="202"/>
      <c r="C2" s="218">
        <v>2021</v>
      </c>
      <c r="D2" s="218"/>
      <c r="E2" s="218"/>
      <c r="F2" s="218"/>
      <c r="G2" s="218">
        <v>2022</v>
      </c>
      <c r="H2" s="218"/>
      <c r="I2" s="218"/>
      <c r="J2" s="218"/>
      <c r="K2" s="218">
        <v>2023</v>
      </c>
      <c r="L2" s="218"/>
      <c r="M2" s="218"/>
      <c r="N2" s="218"/>
      <c r="O2" s="242"/>
      <c r="P2" s="241" t="s">
        <v>344</v>
      </c>
      <c r="Q2" s="241"/>
    </row>
    <row r="3" spans="1:18" x14ac:dyDescent="0.25">
      <c r="A3" s="16" t="s">
        <v>136</v>
      </c>
      <c r="B3" s="16" t="s">
        <v>137</v>
      </c>
      <c r="C3" s="206" t="s">
        <v>325</v>
      </c>
      <c r="D3" s="207"/>
      <c r="E3" s="206" t="s">
        <v>326</v>
      </c>
      <c r="F3" s="207"/>
      <c r="G3" s="206" t="s">
        <v>327</v>
      </c>
      <c r="H3" s="207"/>
      <c r="I3" s="206" t="s">
        <v>328</v>
      </c>
      <c r="J3" s="207"/>
      <c r="K3" s="206" t="s">
        <v>329</v>
      </c>
      <c r="L3" s="207"/>
      <c r="M3" s="206" t="s">
        <v>330</v>
      </c>
      <c r="N3" s="207"/>
      <c r="O3" s="247"/>
      <c r="P3" s="223" t="s">
        <v>350</v>
      </c>
      <c r="Q3" s="224"/>
    </row>
    <row r="4" spans="1:18" ht="15.75" x14ac:dyDescent="0.25">
      <c r="A4" s="204" t="s">
        <v>19</v>
      </c>
      <c r="B4" s="204"/>
      <c r="C4" s="35"/>
      <c r="D4" s="36"/>
      <c r="E4" s="171"/>
      <c r="F4" s="172"/>
      <c r="G4" s="35"/>
      <c r="H4" s="36"/>
      <c r="I4" s="171"/>
      <c r="J4" s="172"/>
      <c r="K4" s="35"/>
      <c r="L4" s="36"/>
      <c r="M4" s="171"/>
      <c r="N4" s="172"/>
      <c r="O4" s="45"/>
      <c r="P4" s="225"/>
      <c r="Q4" s="36"/>
    </row>
    <row r="5" spans="1:18" x14ac:dyDescent="0.25">
      <c r="A5" s="10"/>
      <c r="B5" s="23"/>
      <c r="C5" s="35"/>
      <c r="D5" s="36"/>
      <c r="E5" s="171"/>
      <c r="F5" s="172"/>
      <c r="G5" s="35"/>
      <c r="H5" s="36"/>
      <c r="I5" s="171"/>
      <c r="J5" s="172"/>
      <c r="K5" s="35"/>
      <c r="L5" s="36"/>
      <c r="M5" s="171"/>
      <c r="N5" s="172"/>
      <c r="O5" s="28"/>
      <c r="P5" s="225"/>
      <c r="Q5" s="36"/>
    </row>
    <row r="6" spans="1:18" s="6" customFormat="1" ht="15.75" thickBot="1" x14ac:dyDescent="0.3">
      <c r="A6" s="77">
        <v>0</v>
      </c>
      <c r="B6" s="70" t="s">
        <v>233</v>
      </c>
      <c r="C6" s="74">
        <v>0</v>
      </c>
      <c r="D6" s="78"/>
      <c r="E6" s="74"/>
      <c r="F6" s="78"/>
      <c r="G6" s="74">
        <v>0</v>
      </c>
      <c r="H6" s="78"/>
      <c r="I6" s="74"/>
      <c r="J6" s="78"/>
      <c r="K6" s="74">
        <v>0</v>
      </c>
      <c r="L6" s="78"/>
      <c r="M6" s="74"/>
      <c r="N6" s="78"/>
      <c r="O6" s="28"/>
      <c r="P6" s="139">
        <v>0</v>
      </c>
      <c r="Q6" s="78"/>
    </row>
    <row r="7" spans="1:18" s="63" customFormat="1" ht="15.75" thickBot="1" x14ac:dyDescent="0.3">
      <c r="A7" s="64"/>
      <c r="B7" s="65"/>
      <c r="C7" s="61"/>
      <c r="D7" s="62"/>
      <c r="E7" s="61"/>
      <c r="F7" s="62"/>
      <c r="G7" s="61"/>
      <c r="H7" s="62"/>
      <c r="I7" s="61"/>
      <c r="J7" s="62"/>
      <c r="K7" s="61"/>
      <c r="L7" s="62"/>
      <c r="M7" s="61"/>
      <c r="N7" s="62"/>
      <c r="O7" s="28"/>
      <c r="P7" s="61"/>
      <c r="Q7" s="62"/>
    </row>
    <row r="8" spans="1:18" x14ac:dyDescent="0.25">
      <c r="A8" s="81" t="s">
        <v>0</v>
      </c>
      <c r="B8" s="82" t="s">
        <v>86</v>
      </c>
      <c r="C8" s="42"/>
      <c r="D8" s="43"/>
      <c r="E8" s="173"/>
      <c r="F8" s="174"/>
      <c r="G8" s="42"/>
      <c r="H8" s="43"/>
      <c r="I8" s="173"/>
      <c r="J8" s="174"/>
      <c r="K8" s="42"/>
      <c r="L8" s="43"/>
      <c r="M8" s="173"/>
      <c r="N8" s="174"/>
      <c r="O8" s="39"/>
      <c r="P8" s="226"/>
      <c r="Q8" s="43"/>
      <c r="R8" s="13"/>
    </row>
    <row r="9" spans="1:18" x14ac:dyDescent="0.25">
      <c r="A9" s="44" t="s">
        <v>161</v>
      </c>
      <c r="B9" s="25" t="s">
        <v>252</v>
      </c>
      <c r="C9" s="138"/>
      <c r="D9" s="40">
        <v>504000</v>
      </c>
      <c r="E9" s="175"/>
      <c r="F9" s="174">
        <v>496500</v>
      </c>
      <c r="G9" s="138"/>
      <c r="H9" s="40">
        <v>550000</v>
      </c>
      <c r="I9" s="175"/>
      <c r="J9" s="174">
        <v>507810</v>
      </c>
      <c r="K9" s="138"/>
      <c r="L9" s="40">
        <v>498000</v>
      </c>
      <c r="M9" s="175"/>
      <c r="N9" s="174">
        <v>497400</v>
      </c>
      <c r="O9" s="39"/>
      <c r="P9" s="225"/>
      <c r="Q9" s="40">
        <v>500000</v>
      </c>
      <c r="R9" s="13"/>
    </row>
    <row r="10" spans="1:18" x14ac:dyDescent="0.25">
      <c r="A10" s="45"/>
      <c r="B10" s="27" t="s">
        <v>250</v>
      </c>
      <c r="C10" s="37">
        <v>277200</v>
      </c>
      <c r="D10" s="36"/>
      <c r="E10" s="176"/>
      <c r="F10" s="174"/>
      <c r="G10" s="37">
        <v>329500</v>
      </c>
      <c r="H10" s="36"/>
      <c r="I10" s="176">
        <v>279295.5</v>
      </c>
      <c r="J10" s="174"/>
      <c r="K10" s="37">
        <f>24900*2*5.5</f>
        <v>273900</v>
      </c>
      <c r="L10" s="36"/>
      <c r="M10" s="176">
        <f>N9-M11</f>
        <v>273300</v>
      </c>
      <c r="N10" s="174"/>
      <c r="O10" s="39"/>
      <c r="P10" s="227">
        <v>275000</v>
      </c>
      <c r="Q10" s="36"/>
    </row>
    <row r="11" spans="1:18" x14ac:dyDescent="0.25">
      <c r="A11" s="45"/>
      <c r="B11" s="46" t="s">
        <v>251</v>
      </c>
      <c r="C11" s="37">
        <v>226800</v>
      </c>
      <c r="D11" s="36"/>
      <c r="E11" s="176"/>
      <c r="F11" s="174"/>
      <c r="G11" s="37">
        <v>220500</v>
      </c>
      <c r="H11" s="36"/>
      <c r="I11" s="176">
        <v>228514.5</v>
      </c>
      <c r="J11" s="174"/>
      <c r="K11" s="37">
        <f>24900*4.5*2</f>
        <v>224100</v>
      </c>
      <c r="L11" s="36"/>
      <c r="M11" s="176">
        <v>224100</v>
      </c>
      <c r="N11" s="174"/>
      <c r="O11" s="39"/>
      <c r="P11" s="227">
        <v>225000</v>
      </c>
      <c r="Q11" s="36"/>
    </row>
    <row r="12" spans="1:18" s="13" customFormat="1" x14ac:dyDescent="0.25">
      <c r="A12" s="45"/>
      <c r="B12" s="85"/>
      <c r="C12" s="35"/>
      <c r="D12" s="36"/>
      <c r="E12" s="175"/>
      <c r="F12" s="174"/>
      <c r="G12" s="35"/>
      <c r="H12" s="36"/>
      <c r="I12" s="175"/>
      <c r="J12" s="174"/>
      <c r="K12" s="35"/>
      <c r="L12" s="36"/>
      <c r="M12" s="175"/>
      <c r="N12" s="174"/>
      <c r="O12" s="39"/>
      <c r="P12" s="225"/>
      <c r="Q12" s="36"/>
    </row>
    <row r="13" spans="1:18" x14ac:dyDescent="0.25">
      <c r="A13" s="44" t="s">
        <v>162</v>
      </c>
      <c r="B13" s="25" t="s">
        <v>253</v>
      </c>
      <c r="C13" s="138"/>
      <c r="D13" s="40">
        <v>56000</v>
      </c>
      <c r="E13" s="175"/>
      <c r="F13" s="174">
        <v>66660</v>
      </c>
      <c r="G13" s="138"/>
      <c r="H13" s="40">
        <v>60000</v>
      </c>
      <c r="I13" s="175"/>
      <c r="J13" s="174">
        <v>77830</v>
      </c>
      <c r="K13" s="138"/>
      <c r="L13" s="40">
        <v>70000</v>
      </c>
      <c r="M13" s="175"/>
      <c r="N13" s="174">
        <v>80230</v>
      </c>
      <c r="O13" s="39"/>
      <c r="P13" s="225"/>
      <c r="Q13" s="40">
        <v>78000</v>
      </c>
    </row>
    <row r="14" spans="1:18" s="13" customFormat="1" x14ac:dyDescent="0.25">
      <c r="A14" s="47"/>
      <c r="B14" s="27" t="s">
        <v>254</v>
      </c>
      <c r="C14" s="79"/>
      <c r="D14" s="36"/>
      <c r="E14" s="175"/>
      <c r="F14" s="174"/>
      <c r="G14" s="79"/>
      <c r="H14" s="36"/>
      <c r="I14" s="175"/>
      <c r="J14" s="174"/>
      <c r="K14" s="79">
        <f>1.8*2*3500</f>
        <v>12600</v>
      </c>
      <c r="L14" s="36"/>
      <c r="M14" s="175">
        <f>3973*1.8+4050*1.8</f>
        <v>14441.400000000001</v>
      </c>
      <c r="N14" s="174"/>
      <c r="O14" s="39"/>
      <c r="P14" s="228">
        <v>14040</v>
      </c>
      <c r="Q14" s="36"/>
    </row>
    <row r="15" spans="1:18" s="13" customFormat="1" x14ac:dyDescent="0.25">
      <c r="A15" s="47"/>
      <c r="B15" s="46" t="s">
        <v>255</v>
      </c>
      <c r="C15" s="79"/>
      <c r="D15" s="36"/>
      <c r="E15" s="175"/>
      <c r="F15" s="174"/>
      <c r="G15" s="79"/>
      <c r="H15" s="36"/>
      <c r="I15" s="175"/>
      <c r="J15" s="174"/>
      <c r="K15" s="79">
        <f>8.2*2*3500</f>
        <v>57399.999999999993</v>
      </c>
      <c r="L15" s="36"/>
      <c r="M15" s="175">
        <f>3973*8.2+4050*8.2</f>
        <v>65788.600000000006</v>
      </c>
      <c r="N15" s="174"/>
      <c r="O15" s="39"/>
      <c r="P15" s="228">
        <v>63960</v>
      </c>
      <c r="Q15" s="36"/>
    </row>
    <row r="16" spans="1:18" s="13" customFormat="1" x14ac:dyDescent="0.25">
      <c r="A16" s="47"/>
      <c r="B16" s="46"/>
      <c r="C16" s="79"/>
      <c r="D16" s="36"/>
      <c r="E16" s="175"/>
      <c r="F16" s="174"/>
      <c r="G16" s="79"/>
      <c r="H16" s="36"/>
      <c r="I16" s="175"/>
      <c r="J16" s="174"/>
      <c r="K16" s="79"/>
      <c r="L16" s="36"/>
      <c r="M16" s="175"/>
      <c r="N16" s="174"/>
      <c r="O16" s="39"/>
      <c r="P16" s="228"/>
      <c r="Q16" s="36"/>
    </row>
    <row r="17" spans="1:19" s="13" customFormat="1" x14ac:dyDescent="0.25">
      <c r="A17" s="47"/>
      <c r="B17" s="25" t="s">
        <v>340</v>
      </c>
      <c r="C17" s="79"/>
      <c r="D17" s="36"/>
      <c r="E17" s="175"/>
      <c r="F17" s="174"/>
      <c r="G17" s="79"/>
      <c r="H17" s="36"/>
      <c r="I17" s="175"/>
      <c r="J17" s="174">
        <v>171</v>
      </c>
      <c r="K17" s="79"/>
      <c r="L17" s="36"/>
      <c r="M17" s="175"/>
      <c r="N17" s="174"/>
      <c r="O17" s="39"/>
      <c r="P17" s="228"/>
      <c r="Q17" s="36"/>
    </row>
    <row r="18" spans="1:19" s="13" customFormat="1" x14ac:dyDescent="0.25">
      <c r="A18" s="47"/>
      <c r="B18" s="28"/>
      <c r="C18" s="79"/>
      <c r="D18" s="36"/>
      <c r="E18" s="175"/>
      <c r="F18" s="174"/>
      <c r="G18" s="79"/>
      <c r="H18" s="36"/>
      <c r="I18" s="175"/>
      <c r="J18" s="174"/>
      <c r="K18" s="79"/>
      <c r="L18" s="36"/>
      <c r="M18" s="175"/>
      <c r="N18" s="174"/>
      <c r="O18" s="39"/>
      <c r="P18" s="228"/>
      <c r="Q18" s="36"/>
    </row>
    <row r="19" spans="1:19" s="13" customFormat="1" x14ac:dyDescent="0.25">
      <c r="A19" s="47"/>
      <c r="B19" s="25" t="s">
        <v>341</v>
      </c>
      <c r="C19" s="79"/>
      <c r="D19" s="36"/>
      <c r="E19" s="175"/>
      <c r="F19" s="174"/>
      <c r="G19" s="79"/>
      <c r="H19" s="36"/>
      <c r="I19" s="175"/>
      <c r="J19" s="174">
        <v>506555</v>
      </c>
      <c r="K19" s="79"/>
      <c r="L19" s="36"/>
      <c r="M19" s="175"/>
      <c r="N19" s="174"/>
      <c r="O19" s="39"/>
      <c r="P19" s="228"/>
      <c r="Q19" s="36"/>
    </row>
    <row r="20" spans="1:19" x14ac:dyDescent="0.25">
      <c r="A20" s="47"/>
      <c r="B20" s="85"/>
      <c r="C20" s="35"/>
      <c r="D20" s="36"/>
      <c r="E20" s="175"/>
      <c r="F20" s="174"/>
      <c r="G20" s="35"/>
      <c r="H20" s="36"/>
      <c r="I20" s="175"/>
      <c r="J20" s="174"/>
      <c r="K20" s="35"/>
      <c r="L20" s="36"/>
      <c r="M20" s="175"/>
      <c r="N20" s="174"/>
      <c r="O20" s="39"/>
      <c r="P20" s="225"/>
      <c r="Q20" s="36"/>
    </row>
    <row r="21" spans="1:19" s="6" customFormat="1" ht="15.75" thickBot="1" x14ac:dyDescent="0.3">
      <c r="A21" s="69" t="s">
        <v>152</v>
      </c>
      <c r="B21" s="70" t="s">
        <v>86</v>
      </c>
      <c r="C21" s="73"/>
      <c r="D21" s="72">
        <f>SUM(D8:D20)</f>
        <v>560000</v>
      </c>
      <c r="E21" s="136"/>
      <c r="F21" s="72">
        <f>SUM(F9:F20)</f>
        <v>563160</v>
      </c>
      <c r="G21" s="73"/>
      <c r="H21" s="72">
        <f>SUM(H8:H20)</f>
        <v>610000</v>
      </c>
      <c r="I21" s="136"/>
      <c r="J21" s="72">
        <f>SUM(J9:J20)</f>
        <v>1092366</v>
      </c>
      <c r="K21" s="73"/>
      <c r="L21" s="72">
        <f>SUM(L8:L20)</f>
        <v>568000</v>
      </c>
      <c r="M21" s="136"/>
      <c r="N21" s="72">
        <f>SUM(N9:N20)</f>
        <v>577630</v>
      </c>
      <c r="O21" s="219"/>
      <c r="P21" s="73"/>
      <c r="Q21" s="72">
        <f>SUM(Q8:Q20)</f>
        <v>578000</v>
      </c>
    </row>
    <row r="22" spans="1:19" s="63" customFormat="1" ht="15.75" thickBot="1" x14ac:dyDescent="0.3">
      <c r="A22" s="58"/>
      <c r="B22" s="59"/>
      <c r="C22" s="61"/>
      <c r="D22" s="62"/>
      <c r="E22" s="61"/>
      <c r="F22" s="67"/>
      <c r="G22" s="61"/>
      <c r="H22" s="62"/>
      <c r="I22" s="61"/>
      <c r="J22" s="67"/>
      <c r="K22" s="61"/>
      <c r="L22" s="62"/>
      <c r="M22" s="61"/>
      <c r="N22" s="67"/>
      <c r="O22" s="28"/>
      <c r="P22" s="61"/>
      <c r="Q22" s="62"/>
    </row>
    <row r="23" spans="1:19" s="2" customFormat="1" x14ac:dyDescent="0.25">
      <c r="A23" s="81" t="s">
        <v>1</v>
      </c>
      <c r="B23" s="82" t="s">
        <v>178</v>
      </c>
      <c r="C23" s="53"/>
      <c r="D23" s="54"/>
      <c r="E23" s="177"/>
      <c r="F23" s="178"/>
      <c r="G23" s="53"/>
      <c r="H23" s="54"/>
      <c r="I23" s="177"/>
      <c r="J23" s="178"/>
      <c r="K23" s="53"/>
      <c r="L23" s="54"/>
      <c r="M23" s="177"/>
      <c r="N23" s="178"/>
      <c r="O23" s="5"/>
      <c r="P23" s="229"/>
      <c r="Q23" s="54"/>
    </row>
    <row r="24" spans="1:19" x14ac:dyDescent="0.25">
      <c r="A24" s="44" t="s">
        <v>87</v>
      </c>
      <c r="B24" s="25" t="s">
        <v>237</v>
      </c>
      <c r="C24" s="138"/>
      <c r="D24" s="40">
        <f>SUM(C25:C26)</f>
        <v>3000</v>
      </c>
      <c r="E24" s="175"/>
      <c r="F24" s="174">
        <f>SUM(E25:E26)</f>
        <v>2780</v>
      </c>
      <c r="G24" s="138"/>
      <c r="H24" s="40">
        <f>SUM(G25:G26)</f>
        <v>3000</v>
      </c>
      <c r="I24" s="175"/>
      <c r="J24" s="174">
        <f>SUM(I25:I26)</f>
        <v>400</v>
      </c>
      <c r="K24" s="138"/>
      <c r="L24" s="40">
        <f>SUM(K25:K26)</f>
        <v>3000</v>
      </c>
      <c r="M24" s="175"/>
      <c r="N24" s="174">
        <f>SUM(M25:M26)</f>
        <v>6670.31</v>
      </c>
      <c r="O24" s="39"/>
      <c r="P24" s="225"/>
      <c r="Q24" s="40">
        <f>SUM(P25:P26)</f>
        <v>5000</v>
      </c>
    </row>
    <row r="25" spans="1:19" x14ac:dyDescent="0.25">
      <c r="A25" s="47"/>
      <c r="B25" s="27" t="s">
        <v>307</v>
      </c>
      <c r="C25" s="79">
        <v>0</v>
      </c>
      <c r="D25" s="137"/>
      <c r="E25" s="179">
        <v>0</v>
      </c>
      <c r="F25" s="172"/>
      <c r="G25" s="79">
        <v>0</v>
      </c>
      <c r="H25" s="137"/>
      <c r="I25" s="179">
        <v>0</v>
      </c>
      <c r="J25" s="172"/>
      <c r="K25" s="79">
        <v>0</v>
      </c>
      <c r="L25" s="137"/>
      <c r="M25" s="179">
        <v>0</v>
      </c>
      <c r="N25" s="172"/>
      <c r="O25" s="28"/>
      <c r="P25" s="228">
        <v>0</v>
      </c>
      <c r="Q25" s="137"/>
    </row>
    <row r="26" spans="1:19" x14ac:dyDescent="0.25">
      <c r="A26" s="47"/>
      <c r="B26" s="27" t="s">
        <v>276</v>
      </c>
      <c r="C26" s="79">
        <v>3000</v>
      </c>
      <c r="D26" s="137"/>
      <c r="E26" s="179">
        <v>2780</v>
      </c>
      <c r="F26" s="172"/>
      <c r="G26" s="79">
        <v>3000</v>
      </c>
      <c r="H26" s="137"/>
      <c r="I26" s="179">
        <v>400</v>
      </c>
      <c r="J26" s="172"/>
      <c r="K26" s="79">
        <v>3000</v>
      </c>
      <c r="L26" s="137"/>
      <c r="M26" s="179">
        <v>6670.31</v>
      </c>
      <c r="N26" s="172"/>
      <c r="O26" s="28"/>
      <c r="P26" s="228">
        <v>5000</v>
      </c>
      <c r="Q26" s="137"/>
    </row>
    <row r="27" spans="1:19" x14ac:dyDescent="0.25">
      <c r="A27" s="47"/>
      <c r="C27" s="35"/>
      <c r="D27" s="36"/>
      <c r="E27" s="171"/>
      <c r="F27" s="172"/>
      <c r="G27" s="35"/>
      <c r="H27" s="36"/>
      <c r="I27" s="171"/>
      <c r="J27" s="172"/>
      <c r="K27" s="35"/>
      <c r="L27" s="36"/>
      <c r="M27" s="171"/>
      <c r="N27" s="172"/>
      <c r="O27" s="28"/>
      <c r="P27" s="225"/>
      <c r="Q27" s="36"/>
    </row>
    <row r="28" spans="1:19" x14ac:dyDescent="0.25">
      <c r="A28" s="44" t="s">
        <v>123</v>
      </c>
      <c r="B28" s="25" t="s">
        <v>124</v>
      </c>
      <c r="C28" s="138"/>
      <c r="D28" s="40">
        <v>0</v>
      </c>
      <c r="E28" s="175"/>
      <c r="F28" s="174">
        <v>0</v>
      </c>
      <c r="G28" s="138"/>
      <c r="H28" s="40">
        <v>0</v>
      </c>
      <c r="I28" s="175"/>
      <c r="J28" s="174">
        <v>0</v>
      </c>
      <c r="K28" s="138"/>
      <c r="L28" s="40">
        <v>0</v>
      </c>
      <c r="M28" s="175"/>
      <c r="N28" s="174">
        <v>535.99</v>
      </c>
      <c r="O28" s="39"/>
      <c r="P28" s="225"/>
      <c r="Q28" s="40">
        <v>0</v>
      </c>
    </row>
    <row r="29" spans="1:19" s="4" customFormat="1" x14ac:dyDescent="0.25">
      <c r="A29" s="47"/>
      <c r="B29" s="27"/>
      <c r="C29" s="35"/>
      <c r="D29" s="36"/>
      <c r="E29" s="175"/>
      <c r="F29" s="172"/>
      <c r="G29" s="35"/>
      <c r="H29" s="36"/>
      <c r="I29" s="175"/>
      <c r="J29" s="172"/>
      <c r="K29" s="35"/>
      <c r="L29" s="36"/>
      <c r="M29" s="175"/>
      <c r="N29" s="172"/>
      <c r="O29" s="28"/>
      <c r="P29" s="225"/>
      <c r="Q29" s="36"/>
    </row>
    <row r="30" spans="1:19" x14ac:dyDescent="0.25">
      <c r="A30" s="44" t="s">
        <v>125</v>
      </c>
      <c r="B30" s="25" t="s">
        <v>128</v>
      </c>
      <c r="C30" s="138"/>
      <c r="D30" s="40">
        <f>SUM(C31:C32)</f>
        <v>6000</v>
      </c>
      <c r="E30" s="175"/>
      <c r="F30" s="174">
        <f>SUM(E31:E32)</f>
        <v>14690.47</v>
      </c>
      <c r="G30" s="138"/>
      <c r="H30" s="40">
        <f>SUM(G31:G32)</f>
        <v>6000</v>
      </c>
      <c r="I30" s="175"/>
      <c r="J30" s="174">
        <f>SUM(I31:I32)</f>
        <v>21232.33</v>
      </c>
      <c r="K30" s="138"/>
      <c r="L30" s="40">
        <f>SUM(K31:K32)</f>
        <v>6000</v>
      </c>
      <c r="M30" s="175"/>
      <c r="N30" s="174">
        <f>SUM(M31:M32)</f>
        <v>34983.86</v>
      </c>
      <c r="O30" s="39"/>
      <c r="P30" s="225"/>
      <c r="Q30" s="40">
        <f>SUM(P31:P32)</f>
        <v>6000</v>
      </c>
      <c r="R30" s="30"/>
      <c r="S30" s="26"/>
    </row>
    <row r="31" spans="1:19" x14ac:dyDescent="0.25">
      <c r="A31" s="47"/>
      <c r="B31" s="27" t="s">
        <v>307</v>
      </c>
      <c r="C31" s="79">
        <v>0</v>
      </c>
      <c r="D31" s="137"/>
      <c r="E31" s="179">
        <v>30</v>
      </c>
      <c r="F31" s="172"/>
      <c r="G31" s="79">
        <v>0</v>
      </c>
      <c r="H31" s="137"/>
      <c r="I31" s="179">
        <v>0</v>
      </c>
      <c r="J31" s="172"/>
      <c r="K31" s="79">
        <v>0</v>
      </c>
      <c r="L31" s="137"/>
      <c r="M31" s="179">
        <v>0</v>
      </c>
      <c r="N31" s="172"/>
      <c r="O31" s="28"/>
      <c r="P31" s="228">
        <v>0</v>
      </c>
      <c r="Q31" s="137"/>
    </row>
    <row r="32" spans="1:19" x14ac:dyDescent="0.25">
      <c r="A32" s="47"/>
      <c r="B32" s="27" t="s">
        <v>276</v>
      </c>
      <c r="C32" s="79">
        <v>6000</v>
      </c>
      <c r="D32" s="137"/>
      <c r="E32" s="180">
        <v>14660.47</v>
      </c>
      <c r="F32" s="172"/>
      <c r="G32" s="79">
        <v>6000</v>
      </c>
      <c r="H32" s="137"/>
      <c r="I32" s="180">
        <v>21232.33</v>
      </c>
      <c r="J32" s="172"/>
      <c r="K32" s="79">
        <v>6000</v>
      </c>
      <c r="L32" s="137"/>
      <c r="M32" s="180">
        <v>34983.86</v>
      </c>
      <c r="N32" s="172"/>
      <c r="O32" s="28"/>
      <c r="P32" s="228">
        <v>6000</v>
      </c>
      <c r="Q32" s="137"/>
    </row>
    <row r="33" spans="1:17" x14ac:dyDescent="0.25">
      <c r="A33" s="47"/>
      <c r="B33" s="27"/>
      <c r="C33" s="35"/>
      <c r="D33" s="36"/>
      <c r="E33" s="171"/>
      <c r="F33" s="172"/>
      <c r="G33" s="35"/>
      <c r="H33" s="36"/>
      <c r="I33" s="171"/>
      <c r="J33" s="172"/>
      <c r="K33" s="35"/>
      <c r="L33" s="36"/>
      <c r="M33" s="171"/>
      <c r="N33" s="172"/>
      <c r="O33" s="28"/>
      <c r="P33" s="225"/>
      <c r="Q33" s="36"/>
    </row>
    <row r="34" spans="1:17" x14ac:dyDescent="0.25">
      <c r="A34" s="44" t="s">
        <v>126</v>
      </c>
      <c r="B34" s="25" t="s">
        <v>129</v>
      </c>
      <c r="C34" s="138"/>
      <c r="D34" s="40">
        <f>SUM(C35:C36)</f>
        <v>8000</v>
      </c>
      <c r="E34" s="175"/>
      <c r="F34" s="174">
        <f>SUM(E35:E36)</f>
        <v>0</v>
      </c>
      <c r="G34" s="138"/>
      <c r="H34" s="40">
        <f>SUM(G35:G36)</f>
        <v>8000</v>
      </c>
      <c r="I34" s="175"/>
      <c r="J34" s="174">
        <f>SUM(I35:I36)</f>
        <v>1965</v>
      </c>
      <c r="K34" s="138"/>
      <c r="L34" s="40">
        <f>SUM(K35:K36)</f>
        <v>8000</v>
      </c>
      <c r="M34" s="175"/>
      <c r="N34" s="174">
        <f>SUM(M35:M36)</f>
        <v>2854.7700000000004</v>
      </c>
      <c r="O34" s="39"/>
      <c r="P34" s="225"/>
      <c r="Q34" s="40">
        <f>SUM(P35:P36)</f>
        <v>8000</v>
      </c>
    </row>
    <row r="35" spans="1:17" x14ac:dyDescent="0.25">
      <c r="A35" s="47"/>
      <c r="B35" s="27" t="s">
        <v>307</v>
      </c>
      <c r="C35" s="79">
        <v>0</v>
      </c>
      <c r="D35" s="137"/>
      <c r="E35" s="180">
        <v>0</v>
      </c>
      <c r="F35" s="172"/>
      <c r="G35" s="79">
        <v>0</v>
      </c>
      <c r="H35" s="137"/>
      <c r="I35" s="180">
        <v>0</v>
      </c>
      <c r="J35" s="172"/>
      <c r="K35" s="79">
        <v>0</v>
      </c>
      <c r="L35" s="137"/>
      <c r="M35" s="180">
        <v>0</v>
      </c>
      <c r="N35" s="172"/>
      <c r="O35" s="28"/>
      <c r="P35" s="228">
        <v>0</v>
      </c>
      <c r="Q35" s="137"/>
    </row>
    <row r="36" spans="1:17" x14ac:dyDescent="0.25">
      <c r="A36" s="47"/>
      <c r="B36" s="27" t="s">
        <v>276</v>
      </c>
      <c r="C36" s="79">
        <v>8000</v>
      </c>
      <c r="D36" s="137"/>
      <c r="E36" s="180">
        <v>0</v>
      </c>
      <c r="F36" s="172"/>
      <c r="G36" s="79">
        <v>8000</v>
      </c>
      <c r="H36" s="137"/>
      <c r="I36" s="180">
        <v>1965</v>
      </c>
      <c r="J36" s="172"/>
      <c r="K36" s="79">
        <v>8000</v>
      </c>
      <c r="L36" s="137"/>
      <c r="M36" s="180">
        <v>2854.7700000000004</v>
      </c>
      <c r="N36" s="172"/>
      <c r="O36" s="28"/>
      <c r="P36" s="228">
        <v>8000</v>
      </c>
      <c r="Q36" s="137"/>
    </row>
    <row r="37" spans="1:17" x14ac:dyDescent="0.25">
      <c r="A37" s="47"/>
      <c r="B37" s="27"/>
      <c r="C37" s="35"/>
      <c r="D37" s="36"/>
      <c r="E37" s="175"/>
      <c r="F37" s="172"/>
      <c r="G37" s="35"/>
      <c r="H37" s="36"/>
      <c r="I37" s="175"/>
      <c r="J37" s="172"/>
      <c r="K37" s="35"/>
      <c r="L37" s="36"/>
      <c r="M37" s="175"/>
      <c r="N37" s="172"/>
      <c r="O37" s="28"/>
      <c r="P37" s="225"/>
      <c r="Q37" s="36"/>
    </row>
    <row r="38" spans="1:17" x14ac:dyDescent="0.25">
      <c r="A38" s="44" t="s">
        <v>127</v>
      </c>
      <c r="B38" s="25" t="s">
        <v>130</v>
      </c>
      <c r="C38" s="138"/>
      <c r="D38" s="40">
        <v>15000</v>
      </c>
      <c r="E38" s="175"/>
      <c r="F38" s="174">
        <v>1360</v>
      </c>
      <c r="G38" s="138"/>
      <c r="H38" s="40">
        <f>SUM(G39:G40)</f>
        <v>15000</v>
      </c>
      <c r="I38" s="175"/>
      <c r="J38" s="174">
        <f>SUM(I39:I40)</f>
        <v>32914.81</v>
      </c>
      <c r="K38" s="138"/>
      <c r="L38" s="40">
        <f>SUM(K39:K40)</f>
        <v>15000</v>
      </c>
      <c r="M38" s="175"/>
      <c r="N38" s="174">
        <f>SUM(M39:M40)</f>
        <v>97975.360000000001</v>
      </c>
      <c r="O38" s="39"/>
      <c r="P38" s="225"/>
      <c r="Q38" s="40">
        <f>SUM(P39:P40)</f>
        <v>15000</v>
      </c>
    </row>
    <row r="39" spans="1:17" x14ac:dyDescent="0.25">
      <c r="A39" s="47"/>
      <c r="B39" s="27" t="s">
        <v>307</v>
      </c>
      <c r="C39" s="79"/>
      <c r="D39" s="137"/>
      <c r="E39" s="179"/>
      <c r="F39" s="172"/>
      <c r="G39" s="79">
        <v>0</v>
      </c>
      <c r="H39" s="137"/>
      <c r="I39" s="179"/>
      <c r="J39" s="172"/>
      <c r="K39" s="79">
        <v>0</v>
      </c>
      <c r="L39" s="137"/>
      <c r="M39" s="179">
        <v>6387.26</v>
      </c>
      <c r="N39" s="172"/>
      <c r="O39" s="28"/>
      <c r="P39" s="228">
        <v>0</v>
      </c>
      <c r="Q39" s="137"/>
    </row>
    <row r="40" spans="1:17" x14ac:dyDescent="0.25">
      <c r="A40" s="47"/>
      <c r="B40" s="27" t="s">
        <v>276</v>
      </c>
      <c r="C40" s="79"/>
      <c r="D40" s="137"/>
      <c r="E40" s="180"/>
      <c r="F40" s="172"/>
      <c r="G40" s="79">
        <v>15000</v>
      </c>
      <c r="H40" s="137"/>
      <c r="I40" s="180">
        <v>32914.81</v>
      </c>
      <c r="J40" s="172"/>
      <c r="K40" s="79">
        <v>15000</v>
      </c>
      <c r="L40" s="137"/>
      <c r="M40" s="180">
        <f>59689.18+31133.65+765.27</f>
        <v>91588.1</v>
      </c>
      <c r="N40" s="172"/>
      <c r="O40" s="28"/>
      <c r="P40" s="228">
        <v>15000</v>
      </c>
      <c r="Q40" s="137"/>
    </row>
    <row r="41" spans="1:17" x14ac:dyDescent="0.25">
      <c r="A41" s="47"/>
      <c r="B41" s="28"/>
      <c r="C41" s="35"/>
      <c r="D41" s="36"/>
      <c r="E41" s="175"/>
      <c r="F41" s="172"/>
      <c r="G41" s="35"/>
      <c r="H41" s="36"/>
      <c r="I41" s="175"/>
      <c r="J41" s="172"/>
      <c r="K41" s="35"/>
      <c r="L41" s="36"/>
      <c r="M41" s="175"/>
      <c r="N41" s="172"/>
      <c r="O41" s="28"/>
      <c r="P41" s="225"/>
      <c r="Q41" s="36"/>
    </row>
    <row r="42" spans="1:17" x14ac:dyDescent="0.25">
      <c r="A42" s="44" t="s">
        <v>88</v>
      </c>
      <c r="B42" s="25" t="s">
        <v>85</v>
      </c>
      <c r="C42" s="138"/>
      <c r="D42" s="40">
        <v>40</v>
      </c>
      <c r="E42" s="175"/>
      <c r="F42" s="174">
        <v>0</v>
      </c>
      <c r="G42" s="138"/>
      <c r="H42" s="40">
        <v>40</v>
      </c>
      <c r="I42" s="175"/>
      <c r="J42" s="174">
        <v>0</v>
      </c>
      <c r="K42" s="138"/>
      <c r="L42" s="40">
        <v>40</v>
      </c>
      <c r="M42" s="175"/>
      <c r="N42" s="174">
        <v>0</v>
      </c>
      <c r="O42" s="39"/>
      <c r="P42" s="225"/>
      <c r="Q42" s="40">
        <v>0</v>
      </c>
    </row>
    <row r="43" spans="1:17" x14ac:dyDescent="0.25">
      <c r="A43" s="47"/>
      <c r="C43" s="35"/>
      <c r="D43" s="36"/>
      <c r="E43" s="171"/>
      <c r="F43" s="172"/>
      <c r="G43" s="35"/>
      <c r="H43" s="36"/>
      <c r="I43" s="171"/>
      <c r="J43" s="172"/>
      <c r="K43" s="35"/>
      <c r="L43" s="36"/>
      <c r="M43" s="171"/>
      <c r="N43" s="172"/>
      <c r="O43" s="28"/>
      <c r="P43" s="225"/>
      <c r="Q43" s="36"/>
    </row>
    <row r="44" spans="1:17" x14ac:dyDescent="0.25">
      <c r="A44" s="44" t="s">
        <v>131</v>
      </c>
      <c r="B44" s="25" t="s">
        <v>132</v>
      </c>
      <c r="C44" s="138"/>
      <c r="D44" s="40">
        <f>SUM(C45:C46)</f>
        <v>10000</v>
      </c>
      <c r="E44" s="175"/>
      <c r="F44" s="174">
        <f>SUM(E45:E46)</f>
        <v>15357.5</v>
      </c>
      <c r="G44" s="138"/>
      <c r="H44" s="40">
        <f>SUM(G45:G46)</f>
        <v>12000</v>
      </c>
      <c r="I44" s="175"/>
      <c r="J44" s="174">
        <f>SUM(I45:I46)</f>
        <v>8383.7199999999993</v>
      </c>
      <c r="K44" s="138"/>
      <c r="L44" s="40">
        <f>SUM(K45:K46)</f>
        <v>12000</v>
      </c>
      <c r="M44" s="175"/>
      <c r="N44" s="174">
        <f>SUM(M45:M46)</f>
        <v>26797.129999999997</v>
      </c>
      <c r="O44" s="39"/>
      <c r="P44" s="225"/>
      <c r="Q44" s="40">
        <f>SUM(P45:P46)</f>
        <v>15000</v>
      </c>
    </row>
    <row r="45" spans="1:17" x14ac:dyDescent="0.25">
      <c r="A45" s="47"/>
      <c r="B45" s="27" t="s">
        <v>307</v>
      </c>
      <c r="C45" s="79">
        <v>0</v>
      </c>
      <c r="D45" s="36"/>
      <c r="E45" s="179">
        <v>0</v>
      </c>
      <c r="F45" s="172"/>
      <c r="G45" s="79">
        <v>0</v>
      </c>
      <c r="H45" s="36"/>
      <c r="I45" s="179">
        <v>0</v>
      </c>
      <c r="J45" s="172"/>
      <c r="K45" s="79">
        <v>0</v>
      </c>
      <c r="L45" s="36"/>
      <c r="M45" s="179">
        <v>0</v>
      </c>
      <c r="N45" s="172"/>
      <c r="O45" s="28"/>
      <c r="P45" s="228">
        <v>3000</v>
      </c>
      <c r="Q45" s="36"/>
    </row>
    <row r="46" spans="1:17" x14ac:dyDescent="0.25">
      <c r="A46" s="47"/>
      <c r="B46" s="27" t="s">
        <v>276</v>
      </c>
      <c r="C46" s="79">
        <v>10000</v>
      </c>
      <c r="D46" s="36"/>
      <c r="E46" s="180">
        <v>15357.5</v>
      </c>
      <c r="F46" s="172"/>
      <c r="G46" s="79">
        <v>12000</v>
      </c>
      <c r="H46" s="36"/>
      <c r="I46" s="180">
        <v>8383.7199999999993</v>
      </c>
      <c r="J46" s="172"/>
      <c r="K46" s="79">
        <v>12000</v>
      </c>
      <c r="L46" s="36"/>
      <c r="M46" s="180">
        <f>19062.3+7734.83</f>
        <v>26797.129999999997</v>
      </c>
      <c r="N46" s="172"/>
      <c r="O46" s="28"/>
      <c r="P46" s="228">
        <v>12000</v>
      </c>
      <c r="Q46" s="36"/>
    </row>
    <row r="47" spans="1:17" x14ac:dyDescent="0.25">
      <c r="A47" s="47"/>
      <c r="B47" s="28"/>
      <c r="C47" s="35"/>
      <c r="D47" s="36"/>
      <c r="E47" s="171"/>
      <c r="F47" s="172"/>
      <c r="G47" s="35"/>
      <c r="H47" s="36"/>
      <c r="I47" s="171"/>
      <c r="J47" s="172"/>
      <c r="K47" s="35"/>
      <c r="L47" s="36"/>
      <c r="M47" s="171"/>
      <c r="N47" s="172"/>
      <c r="O47" s="28"/>
      <c r="P47" s="225"/>
      <c r="Q47" s="36"/>
    </row>
    <row r="48" spans="1:17" x14ac:dyDescent="0.25">
      <c r="A48" s="44" t="s">
        <v>165</v>
      </c>
      <c r="B48" s="25" t="s">
        <v>331</v>
      </c>
      <c r="C48" s="35"/>
      <c r="D48" s="40">
        <v>0</v>
      </c>
      <c r="E48" s="171"/>
      <c r="F48" s="174">
        <v>40</v>
      </c>
      <c r="G48" s="35"/>
      <c r="H48" s="40">
        <v>0</v>
      </c>
      <c r="I48" s="171"/>
      <c r="J48" s="174">
        <v>0</v>
      </c>
      <c r="K48" s="35"/>
      <c r="L48" s="40">
        <v>0</v>
      </c>
      <c r="M48" s="171"/>
      <c r="N48" s="174">
        <v>0</v>
      </c>
      <c r="O48" s="39"/>
      <c r="P48" s="225"/>
      <c r="Q48" s="40">
        <v>0</v>
      </c>
    </row>
    <row r="49" spans="1:17" x14ac:dyDescent="0.25">
      <c r="A49" s="47"/>
      <c r="B49" s="28"/>
      <c r="C49" s="35"/>
      <c r="D49" s="40"/>
      <c r="E49" s="171"/>
      <c r="F49" s="172"/>
      <c r="G49" s="35"/>
      <c r="H49" s="40"/>
      <c r="I49" s="171"/>
      <c r="J49" s="172"/>
      <c r="K49" s="35"/>
      <c r="L49" s="40"/>
      <c r="M49" s="171"/>
      <c r="N49" s="172"/>
      <c r="O49" s="28"/>
      <c r="P49" s="225"/>
      <c r="Q49" s="40"/>
    </row>
    <row r="50" spans="1:17" s="6" customFormat="1" x14ac:dyDescent="0.25">
      <c r="A50" s="44" t="s">
        <v>164</v>
      </c>
      <c r="B50" s="25" t="s">
        <v>332</v>
      </c>
      <c r="C50" s="35"/>
      <c r="D50" s="40">
        <v>0</v>
      </c>
      <c r="E50" s="171"/>
      <c r="F50" s="174">
        <v>0</v>
      </c>
      <c r="G50" s="35"/>
      <c r="H50" s="40">
        <v>0</v>
      </c>
      <c r="I50" s="171"/>
      <c r="J50" s="174">
        <v>0</v>
      </c>
      <c r="K50" s="35"/>
      <c r="L50" s="40">
        <v>0</v>
      </c>
      <c r="M50" s="171"/>
      <c r="N50" s="174">
        <v>0</v>
      </c>
      <c r="O50" s="39"/>
      <c r="P50" s="225"/>
      <c r="Q50" s="40">
        <v>0</v>
      </c>
    </row>
    <row r="51" spans="1:17" x14ac:dyDescent="0.25">
      <c r="A51" s="47"/>
      <c r="B51" s="28"/>
      <c r="C51" s="35"/>
      <c r="D51" s="40"/>
      <c r="E51" s="175"/>
      <c r="F51" s="172"/>
      <c r="G51" s="35"/>
      <c r="H51" s="40"/>
      <c r="I51" s="175"/>
      <c r="J51" s="172"/>
      <c r="K51" s="35"/>
      <c r="L51" s="40"/>
      <c r="M51" s="175"/>
      <c r="N51" s="172"/>
      <c r="O51" s="28"/>
      <c r="P51" s="225"/>
      <c r="Q51" s="40"/>
    </row>
    <row r="52" spans="1:17" x14ac:dyDescent="0.25">
      <c r="A52" s="44" t="s">
        <v>133</v>
      </c>
      <c r="B52" s="25" t="s">
        <v>134</v>
      </c>
      <c r="C52" s="138"/>
      <c r="D52" s="40">
        <v>0</v>
      </c>
      <c r="E52" s="175"/>
      <c r="F52" s="174">
        <v>2310.4499999999998</v>
      </c>
      <c r="G52" s="138"/>
      <c r="H52" s="40">
        <v>0</v>
      </c>
      <c r="I52" s="175"/>
      <c r="J52" s="174">
        <v>1226.3</v>
      </c>
      <c r="K52" s="138"/>
      <c r="L52" s="40">
        <v>0</v>
      </c>
      <c r="M52" s="175"/>
      <c r="N52" s="174">
        <f>SUM(M53:M54)</f>
        <v>3828.4700000000003</v>
      </c>
      <c r="O52" s="39"/>
      <c r="P52" s="225"/>
      <c r="Q52" s="40">
        <v>0</v>
      </c>
    </row>
    <row r="53" spans="1:17" s="13" customFormat="1" x14ac:dyDescent="0.25">
      <c r="A53" s="47"/>
      <c r="B53" s="28" t="s">
        <v>307</v>
      </c>
      <c r="C53" s="35"/>
      <c r="D53" s="40"/>
      <c r="E53" s="171"/>
      <c r="F53" s="174"/>
      <c r="G53" s="35"/>
      <c r="H53" s="40"/>
      <c r="I53" s="171"/>
      <c r="J53" s="174"/>
      <c r="K53" s="35"/>
      <c r="L53" s="40"/>
      <c r="M53" s="171">
        <f>285+166.84</f>
        <v>451.84000000000003</v>
      </c>
      <c r="N53" s="174"/>
      <c r="O53" s="39"/>
      <c r="P53" s="225"/>
      <c r="Q53" s="40"/>
    </row>
    <row r="54" spans="1:17" x14ac:dyDescent="0.25">
      <c r="A54" s="47"/>
      <c r="B54" s="27" t="s">
        <v>276</v>
      </c>
      <c r="C54" s="79"/>
      <c r="D54" s="137"/>
      <c r="E54" s="180"/>
      <c r="F54" s="172"/>
      <c r="G54" s="79">
        <v>0</v>
      </c>
      <c r="H54" s="137"/>
      <c r="I54" s="180"/>
      <c r="J54" s="172"/>
      <c r="K54" s="79">
        <v>0</v>
      </c>
      <c r="L54" s="137"/>
      <c r="M54" s="180">
        <f>140+3236.63</f>
        <v>3376.63</v>
      </c>
      <c r="N54" s="172"/>
      <c r="O54" s="28"/>
      <c r="P54" s="228">
        <v>0</v>
      </c>
      <c r="Q54" s="137"/>
    </row>
    <row r="55" spans="1:17" s="6" customFormat="1" ht="15.75" thickBot="1" x14ac:dyDescent="0.3">
      <c r="A55" s="69" t="s">
        <v>153</v>
      </c>
      <c r="B55" s="70" t="s">
        <v>178</v>
      </c>
      <c r="C55" s="71"/>
      <c r="D55" s="72">
        <f>SUM(D23:D54)</f>
        <v>42040</v>
      </c>
      <c r="E55" s="71"/>
      <c r="F55" s="72">
        <f>SUM(F23:F54)</f>
        <v>36538.42</v>
      </c>
      <c r="G55" s="71"/>
      <c r="H55" s="72">
        <f>SUM(H23:H54)</f>
        <v>44040</v>
      </c>
      <c r="I55" s="71"/>
      <c r="J55" s="72">
        <f>SUM(J23:J54)</f>
        <v>66122.16</v>
      </c>
      <c r="K55" s="71"/>
      <c r="L55" s="72">
        <f>SUM(L23:L54)</f>
        <v>44040</v>
      </c>
      <c r="M55" s="71"/>
      <c r="N55" s="72">
        <f>SUM(N23:N54)</f>
        <v>173645.89</v>
      </c>
      <c r="O55" s="219"/>
      <c r="P55" s="73"/>
      <c r="Q55" s="72">
        <f>SUM(Q23:Q54)</f>
        <v>49000</v>
      </c>
    </row>
    <row r="56" spans="1:17" s="63" customFormat="1" ht="15.75" thickBot="1" x14ac:dyDescent="0.3">
      <c r="A56" s="58"/>
      <c r="B56" s="59"/>
      <c r="C56" s="61"/>
      <c r="D56" s="62"/>
      <c r="E56" s="61"/>
      <c r="F56" s="62"/>
      <c r="G56" s="61"/>
      <c r="H56" s="62"/>
      <c r="I56" s="61"/>
      <c r="J56" s="62"/>
      <c r="K56" s="61"/>
      <c r="L56" s="62"/>
      <c r="M56" s="61"/>
      <c r="N56" s="62"/>
      <c r="O56" s="28"/>
      <c r="P56" s="61"/>
      <c r="Q56" s="62"/>
    </row>
    <row r="57" spans="1:17" s="6" customFormat="1" x14ac:dyDescent="0.25">
      <c r="A57" s="81" t="s">
        <v>74</v>
      </c>
      <c r="B57" s="82" t="s">
        <v>227</v>
      </c>
      <c r="C57" s="55"/>
      <c r="D57" s="54"/>
      <c r="E57" s="181"/>
      <c r="F57" s="178"/>
      <c r="G57" s="55"/>
      <c r="H57" s="54"/>
      <c r="I57" s="181"/>
      <c r="J57" s="178"/>
      <c r="K57" s="55"/>
      <c r="L57" s="54"/>
      <c r="M57" s="181"/>
      <c r="N57" s="178"/>
      <c r="O57" s="5"/>
      <c r="P57" s="229"/>
      <c r="Q57" s="54"/>
    </row>
    <row r="58" spans="1:17" x14ac:dyDescent="0.25">
      <c r="A58" s="44" t="s">
        <v>89</v>
      </c>
      <c r="B58" s="25" t="s">
        <v>228</v>
      </c>
      <c r="C58" s="138"/>
      <c r="D58" s="40">
        <v>300000</v>
      </c>
      <c r="E58" s="175"/>
      <c r="F58" s="174">
        <v>418646.15</v>
      </c>
      <c r="G58" s="138"/>
      <c r="H58" s="40">
        <v>420000</v>
      </c>
      <c r="I58" s="175"/>
      <c r="J58" s="174">
        <v>523382.38</v>
      </c>
      <c r="K58" s="138"/>
      <c r="L58" s="40">
        <v>480000</v>
      </c>
      <c r="M58" s="175"/>
      <c r="N58" s="174">
        <f>1222151.21-(28000+30000+17743.22)</f>
        <v>1146407.99</v>
      </c>
      <c r="O58" s="39"/>
      <c r="P58" s="225"/>
      <c r="Q58" s="40">
        <v>525000</v>
      </c>
    </row>
    <row r="59" spans="1:17" x14ac:dyDescent="0.25">
      <c r="A59" s="47"/>
      <c r="B59" s="27"/>
      <c r="C59" s="35"/>
      <c r="D59" s="40"/>
      <c r="E59" s="175"/>
      <c r="F59" s="174"/>
      <c r="G59" s="35"/>
      <c r="H59" s="40"/>
      <c r="I59" s="175"/>
      <c r="J59" s="174"/>
      <c r="K59" s="35"/>
      <c r="L59" s="40"/>
      <c r="M59" s="175"/>
      <c r="N59" s="174"/>
      <c r="O59" s="39"/>
      <c r="P59" s="225"/>
      <c r="Q59" s="40"/>
    </row>
    <row r="60" spans="1:17" s="13" customFormat="1" x14ac:dyDescent="0.25">
      <c r="A60" s="44" t="s">
        <v>181</v>
      </c>
      <c r="B60" s="25" t="s">
        <v>182</v>
      </c>
      <c r="C60" s="138"/>
      <c r="D60" s="40">
        <v>30000</v>
      </c>
      <c r="E60" s="175"/>
      <c r="F60" s="174">
        <v>30000</v>
      </c>
      <c r="G60" s="138"/>
      <c r="H60" s="40">
        <v>28000</v>
      </c>
      <c r="I60" s="175"/>
      <c r="J60" s="174">
        <v>28000</v>
      </c>
      <c r="K60" s="138"/>
      <c r="L60" s="40">
        <v>28000</v>
      </c>
      <c r="M60" s="175"/>
      <c r="N60" s="174">
        <v>28000</v>
      </c>
      <c r="O60" s="39"/>
      <c r="P60" s="225"/>
      <c r="Q60" s="40">
        <v>31980</v>
      </c>
    </row>
    <row r="61" spans="1:17" s="13" customFormat="1" x14ac:dyDescent="0.25">
      <c r="A61" s="47"/>
      <c r="B61" s="27"/>
      <c r="C61" s="35"/>
      <c r="D61" s="40"/>
      <c r="E61" s="175"/>
      <c r="F61" s="174"/>
      <c r="G61" s="35"/>
      <c r="H61" s="40"/>
      <c r="I61" s="175"/>
      <c r="J61" s="174"/>
      <c r="K61" s="35"/>
      <c r="L61" s="40"/>
      <c r="M61" s="175"/>
      <c r="N61" s="174"/>
      <c r="O61" s="39"/>
      <c r="P61" s="225"/>
      <c r="Q61" s="40"/>
    </row>
    <row r="62" spans="1:17" x14ac:dyDescent="0.25">
      <c r="A62" s="44" t="s">
        <v>90</v>
      </c>
      <c r="B62" s="25" t="s">
        <v>238</v>
      </c>
      <c r="C62" s="138"/>
      <c r="D62" s="40">
        <v>60000</v>
      </c>
      <c r="E62" s="175"/>
      <c r="F62" s="174">
        <v>40166.160000000003</v>
      </c>
      <c r="G62" s="138"/>
      <c r="H62" s="40">
        <f>SUM(G63:G64)</f>
        <v>58436</v>
      </c>
      <c r="I62" s="175"/>
      <c r="J62" s="174">
        <f>SUM(I63:I64)</f>
        <v>58436</v>
      </c>
      <c r="K62" s="138"/>
      <c r="L62" s="40">
        <f>SUM(K63:K64)</f>
        <v>60000</v>
      </c>
      <c r="M62" s="175"/>
      <c r="N62" s="174">
        <f>SUM(M63:M64)</f>
        <v>47743.22</v>
      </c>
      <c r="O62" s="39"/>
      <c r="P62" s="225"/>
      <c r="Q62" s="40">
        <f>SUM(P63:P64)</f>
        <v>582546.15</v>
      </c>
    </row>
    <row r="63" spans="1:17" x14ac:dyDescent="0.25">
      <c r="A63" s="47"/>
      <c r="B63" s="27" t="s">
        <v>307</v>
      </c>
      <c r="C63" s="79"/>
      <c r="D63" s="137"/>
      <c r="E63" s="179"/>
      <c r="F63" s="174"/>
      <c r="G63" s="79">
        <v>30000</v>
      </c>
      <c r="H63" s="137"/>
      <c r="I63" s="179">
        <v>30000</v>
      </c>
      <c r="J63" s="174"/>
      <c r="K63" s="79">
        <v>30000</v>
      </c>
      <c r="L63" s="137"/>
      <c r="M63" s="179">
        <v>30000</v>
      </c>
      <c r="N63" s="174"/>
      <c r="O63" s="39"/>
      <c r="P63" s="228">
        <v>552546.15</v>
      </c>
      <c r="Q63" s="137"/>
    </row>
    <row r="64" spans="1:17" x14ac:dyDescent="0.25">
      <c r="A64" s="47"/>
      <c r="B64" s="27" t="s">
        <v>13</v>
      </c>
      <c r="C64" s="79"/>
      <c r="D64" s="137"/>
      <c r="E64" s="179"/>
      <c r="F64" s="174"/>
      <c r="G64" s="79">
        <v>28436</v>
      </c>
      <c r="H64" s="137"/>
      <c r="I64" s="179">
        <v>28436</v>
      </c>
      <c r="J64" s="174"/>
      <c r="K64" s="79">
        <v>30000</v>
      </c>
      <c r="L64" s="137"/>
      <c r="M64" s="179">
        <v>17743.219999999998</v>
      </c>
      <c r="N64" s="174"/>
      <c r="O64" s="39"/>
      <c r="P64" s="228">
        <v>30000</v>
      </c>
      <c r="Q64" s="137"/>
    </row>
    <row r="65" spans="1:22" x14ac:dyDescent="0.25">
      <c r="A65" s="47"/>
      <c r="B65" s="27"/>
      <c r="C65" s="35"/>
      <c r="D65" s="36"/>
      <c r="E65" s="175"/>
      <c r="F65" s="172"/>
      <c r="G65" s="35"/>
      <c r="H65" s="36"/>
      <c r="I65" s="175"/>
      <c r="J65" s="172"/>
      <c r="K65" s="35"/>
      <c r="L65" s="36"/>
      <c r="M65" s="175"/>
      <c r="N65" s="172"/>
      <c r="O65" s="28"/>
      <c r="P65" s="225"/>
      <c r="Q65" s="36"/>
    </row>
    <row r="66" spans="1:22" s="6" customFormat="1" ht="15.75" thickBot="1" x14ac:dyDescent="0.3">
      <c r="A66" s="69" t="s">
        <v>154</v>
      </c>
      <c r="B66" s="70" t="s">
        <v>352</v>
      </c>
      <c r="C66" s="74"/>
      <c r="D66" s="75">
        <f>SUM(D58:D62)</f>
        <v>390000</v>
      </c>
      <c r="E66" s="139"/>
      <c r="F66" s="75">
        <f>SUM(F58:F62)</f>
        <v>488812.31000000006</v>
      </c>
      <c r="G66" s="74"/>
      <c r="H66" s="75">
        <f>SUM(H58:H62)</f>
        <v>506436</v>
      </c>
      <c r="I66" s="139"/>
      <c r="J66" s="75">
        <f>SUM(J58:J62)</f>
        <v>609818.38</v>
      </c>
      <c r="K66" s="74"/>
      <c r="L66" s="75">
        <f>SUM(L58:L62)</f>
        <v>568000</v>
      </c>
      <c r="M66" s="139"/>
      <c r="N66" s="75">
        <f>SUM(N58:N62)</f>
        <v>1222151.21</v>
      </c>
      <c r="O66" s="39"/>
      <c r="P66" s="139"/>
      <c r="Q66" s="75">
        <f>SUM(Q58:Q62)</f>
        <v>1139526.1499999999</v>
      </c>
    </row>
    <row r="67" spans="1:22" s="63" customFormat="1" ht="15.75" thickBot="1" x14ac:dyDescent="0.3">
      <c r="A67" s="58"/>
      <c r="B67" s="59"/>
      <c r="C67" s="61"/>
      <c r="D67" s="62"/>
      <c r="E67" s="61"/>
      <c r="F67" s="62"/>
      <c r="G67" s="61"/>
      <c r="H67" s="62"/>
      <c r="I67" s="61"/>
      <c r="J67" s="62"/>
      <c r="K67" s="61"/>
      <c r="L67" s="62"/>
      <c r="M67" s="61"/>
      <c r="N67" s="62"/>
      <c r="O67" s="28"/>
      <c r="P67" s="61"/>
      <c r="Q67" s="62"/>
    </row>
    <row r="68" spans="1:22" x14ac:dyDescent="0.25">
      <c r="A68" s="81" t="s">
        <v>96</v>
      </c>
      <c r="B68" s="82" t="s">
        <v>97</v>
      </c>
      <c r="C68" s="42"/>
      <c r="D68" s="140"/>
      <c r="E68" s="173"/>
      <c r="F68" s="182"/>
      <c r="G68" s="42"/>
      <c r="H68" s="140"/>
      <c r="I68" s="173"/>
      <c r="J68" s="182"/>
      <c r="K68" s="42"/>
      <c r="L68" s="140"/>
      <c r="M68" s="173"/>
      <c r="N68" s="182"/>
      <c r="O68" s="28"/>
      <c r="P68" s="226"/>
      <c r="Q68" s="43"/>
      <c r="R68" s="9"/>
    </row>
    <row r="69" spans="1:22" x14ac:dyDescent="0.25">
      <c r="A69" s="44" t="s">
        <v>20</v>
      </c>
      <c r="B69" s="25" t="s">
        <v>21</v>
      </c>
      <c r="C69" s="138">
        <v>2482480</v>
      </c>
      <c r="D69" s="68"/>
      <c r="E69" s="175">
        <v>1985554.4</v>
      </c>
      <c r="F69" s="172"/>
      <c r="G69" s="138">
        <v>1941500</v>
      </c>
      <c r="H69" s="68"/>
      <c r="I69" s="175">
        <v>2068085.8</v>
      </c>
      <c r="J69" s="172"/>
      <c r="K69" s="138">
        <v>970750</v>
      </c>
      <c r="L69" s="68"/>
      <c r="M69" s="175">
        <v>1054975.8</v>
      </c>
      <c r="N69" s="172"/>
      <c r="O69" s="28"/>
      <c r="P69" s="225">
        <v>0</v>
      </c>
      <c r="Q69" s="36"/>
    </row>
    <row r="70" spans="1:22" x14ac:dyDescent="0.25">
      <c r="A70" s="44" t="s">
        <v>22</v>
      </c>
      <c r="B70" s="25" t="s">
        <v>23</v>
      </c>
      <c r="C70" s="138">
        <v>75460</v>
      </c>
      <c r="D70" s="68"/>
      <c r="E70" s="175">
        <v>138687.65</v>
      </c>
      <c r="F70" s="172"/>
      <c r="G70" s="138">
        <v>137500</v>
      </c>
      <c r="H70" s="68"/>
      <c r="I70" s="175">
        <v>146464.85</v>
      </c>
      <c r="J70" s="172"/>
      <c r="K70" s="138">
        <f>2.5*28400+2.55*28400</f>
        <v>143420</v>
      </c>
      <c r="L70" s="68"/>
      <c r="M70" s="175">
        <v>147420.6</v>
      </c>
      <c r="N70" s="172"/>
      <c r="O70" s="28"/>
      <c r="P70" s="225">
        <v>150280</v>
      </c>
      <c r="Q70" s="36"/>
      <c r="R70" s="13"/>
    </row>
    <row r="71" spans="1:22" x14ac:dyDescent="0.25">
      <c r="A71" s="44" t="s">
        <v>25</v>
      </c>
      <c r="B71" s="25" t="s">
        <v>190</v>
      </c>
      <c r="C71" s="138">
        <v>1000</v>
      </c>
      <c r="D71" s="68" t="s">
        <v>333</v>
      </c>
      <c r="E71" s="175">
        <v>0</v>
      </c>
      <c r="F71" s="172"/>
      <c r="G71" s="138">
        <v>950</v>
      </c>
      <c r="H71" s="68"/>
      <c r="I71" s="175">
        <v>1013.2</v>
      </c>
      <c r="J71" s="172"/>
      <c r="K71" s="138">
        <v>0</v>
      </c>
      <c r="L71" s="68"/>
      <c r="M71" s="175">
        <v>0</v>
      </c>
      <c r="N71" s="172"/>
      <c r="O71" s="28"/>
      <c r="P71" s="225">
        <v>0</v>
      </c>
      <c r="Q71" s="36"/>
    </row>
    <row r="72" spans="1:22" x14ac:dyDescent="0.25">
      <c r="A72" s="44" t="s">
        <v>135</v>
      </c>
      <c r="B72" s="25" t="s">
        <v>114</v>
      </c>
      <c r="C72" s="138">
        <v>5000</v>
      </c>
      <c r="D72" s="68"/>
      <c r="E72" s="175">
        <v>0</v>
      </c>
      <c r="F72" s="172"/>
      <c r="G72" s="138">
        <v>0</v>
      </c>
      <c r="H72" s="68"/>
      <c r="I72" s="175">
        <v>0</v>
      </c>
      <c r="J72" s="172"/>
      <c r="K72" s="138">
        <v>0</v>
      </c>
      <c r="L72" s="68"/>
      <c r="M72" s="175">
        <v>0</v>
      </c>
      <c r="N72" s="172"/>
      <c r="O72" s="28"/>
      <c r="P72" s="225">
        <v>0</v>
      </c>
      <c r="Q72" s="36"/>
    </row>
    <row r="73" spans="1:22" ht="14.25" customHeight="1" x14ac:dyDescent="0.25">
      <c r="A73" s="44" t="s">
        <v>163</v>
      </c>
      <c r="B73" s="25" t="s">
        <v>243</v>
      </c>
      <c r="C73" s="138">
        <v>2500</v>
      </c>
      <c r="D73" s="68"/>
      <c r="E73" s="175">
        <v>760</v>
      </c>
      <c r="F73" s="172"/>
      <c r="G73" s="138">
        <v>2300</v>
      </c>
      <c r="H73" s="68"/>
      <c r="I73" s="175">
        <v>560</v>
      </c>
      <c r="J73" s="172"/>
      <c r="K73" s="138">
        <v>2300</v>
      </c>
      <c r="L73" s="68"/>
      <c r="M73" s="175">
        <v>720</v>
      </c>
      <c r="N73" s="172"/>
      <c r="O73" s="28"/>
      <c r="P73" s="225">
        <v>1150</v>
      </c>
      <c r="Q73" s="36"/>
    </row>
    <row r="74" spans="1:22" s="13" customFormat="1" ht="14.25" customHeight="1" x14ac:dyDescent="0.25">
      <c r="A74" s="44" t="s">
        <v>188</v>
      </c>
      <c r="B74" s="25" t="s">
        <v>189</v>
      </c>
      <c r="C74" s="35">
        <v>0</v>
      </c>
      <c r="D74" s="68"/>
      <c r="E74" s="175">
        <v>0</v>
      </c>
      <c r="F74" s="172"/>
      <c r="G74" s="35">
        <v>85</v>
      </c>
      <c r="H74" s="68"/>
      <c r="I74" s="175">
        <v>509.6</v>
      </c>
      <c r="J74" s="172"/>
      <c r="K74" s="35">
        <v>0</v>
      </c>
      <c r="L74" s="68"/>
      <c r="M74" s="175">
        <v>0</v>
      </c>
      <c r="N74" s="172"/>
      <c r="O74" s="28"/>
      <c r="P74" s="225">
        <v>100</v>
      </c>
      <c r="Q74" s="36"/>
    </row>
    <row r="75" spans="1:22" s="13" customFormat="1" ht="14.25" customHeight="1" x14ac:dyDescent="0.25">
      <c r="A75" s="83" t="s">
        <v>242</v>
      </c>
      <c r="B75" s="25" t="s">
        <v>241</v>
      </c>
      <c r="C75" s="138"/>
      <c r="D75" s="68"/>
      <c r="E75" s="175"/>
      <c r="F75" s="172"/>
      <c r="G75" s="138"/>
      <c r="H75" s="68"/>
      <c r="I75" s="175"/>
      <c r="J75" s="172"/>
      <c r="K75" s="138">
        <f>28400*2*2.5</f>
        <v>142000</v>
      </c>
      <c r="L75" s="68"/>
      <c r="M75" s="175">
        <v>144530</v>
      </c>
      <c r="N75" s="172"/>
      <c r="O75" s="28"/>
      <c r="P75" s="225">
        <v>144500</v>
      </c>
      <c r="Q75" s="36"/>
    </row>
    <row r="76" spans="1:22" x14ac:dyDescent="0.25">
      <c r="A76" s="49"/>
      <c r="B76" s="29"/>
      <c r="C76" s="35"/>
      <c r="D76" s="68"/>
      <c r="E76" s="175"/>
      <c r="F76" s="172"/>
      <c r="G76" s="35"/>
      <c r="H76" s="68"/>
      <c r="I76" s="175"/>
      <c r="J76" s="172"/>
      <c r="K76" s="35"/>
      <c r="L76" s="68"/>
      <c r="M76" s="175"/>
      <c r="N76" s="172"/>
      <c r="O76" s="28"/>
      <c r="P76" s="225"/>
      <c r="Q76" s="36"/>
    </row>
    <row r="77" spans="1:22" s="6" customFormat="1" ht="15.75" thickBot="1" x14ac:dyDescent="0.3">
      <c r="A77" s="69" t="s">
        <v>151</v>
      </c>
      <c r="B77" s="70" t="s">
        <v>97</v>
      </c>
      <c r="C77" s="74"/>
      <c r="D77" s="74">
        <f>SUM(C69:C75)</f>
        <v>2566440</v>
      </c>
      <c r="E77" s="139"/>
      <c r="F77" s="75">
        <f>SUM(E69:E75)</f>
        <v>2125002.0499999998</v>
      </c>
      <c r="G77" s="74"/>
      <c r="H77" s="74">
        <f>SUM(G69:G75)</f>
        <v>2082335</v>
      </c>
      <c r="I77" s="139"/>
      <c r="J77" s="75">
        <f>SUM(I69:I75)</f>
        <v>2216633.4500000002</v>
      </c>
      <c r="K77" s="74"/>
      <c r="L77" s="74">
        <f>SUM(K69:K75)</f>
        <v>1258470</v>
      </c>
      <c r="M77" s="139"/>
      <c r="N77" s="75">
        <f>SUM(M69:M75)</f>
        <v>1347646.4000000001</v>
      </c>
      <c r="O77" s="39"/>
      <c r="P77" s="139"/>
      <c r="Q77" s="75">
        <f>SUM(P69:P75)</f>
        <v>296030</v>
      </c>
    </row>
    <row r="78" spans="1:22" s="63" customFormat="1" ht="15.75" thickBot="1" x14ac:dyDescent="0.3">
      <c r="A78" s="58"/>
      <c r="B78" s="59"/>
      <c r="C78" s="60"/>
      <c r="D78" s="59"/>
      <c r="E78" s="60"/>
      <c r="F78" s="59"/>
      <c r="G78" s="60"/>
      <c r="H78" s="59"/>
      <c r="I78" s="60"/>
      <c r="J78" s="59"/>
      <c r="K78" s="60"/>
      <c r="L78" s="59"/>
      <c r="M78" s="60"/>
      <c r="N78" s="59"/>
      <c r="O78" s="28"/>
      <c r="P78" s="60"/>
      <c r="Q78" s="59"/>
      <c r="V78" s="66"/>
    </row>
    <row r="79" spans="1:22" s="13" customFormat="1" x14ac:dyDescent="0.25">
      <c r="A79" s="52" t="s">
        <v>234</v>
      </c>
      <c r="B79" s="56"/>
      <c r="C79" s="42"/>
      <c r="D79" s="43"/>
      <c r="E79" s="183"/>
      <c r="F79" s="182"/>
      <c r="G79" s="42"/>
      <c r="H79" s="43"/>
      <c r="I79" s="183"/>
      <c r="J79" s="182"/>
      <c r="K79" s="42"/>
      <c r="L79" s="43"/>
      <c r="M79" s="183"/>
      <c r="N79" s="182"/>
      <c r="O79" s="28"/>
      <c r="P79" s="226"/>
      <c r="Q79" s="43"/>
    </row>
    <row r="80" spans="1:22" x14ac:dyDescent="0.25">
      <c r="A80" s="47" t="s">
        <v>144</v>
      </c>
      <c r="B80" s="5" t="s">
        <v>335</v>
      </c>
      <c r="C80" s="35"/>
      <c r="D80" s="38">
        <f>SUM(D21,D55)</f>
        <v>602040</v>
      </c>
      <c r="E80" s="171"/>
      <c r="F80" s="184">
        <f>SUM(F21,F55)</f>
        <v>599698.42000000004</v>
      </c>
      <c r="G80" s="35"/>
      <c r="H80" s="38">
        <f>SUM(H21,H55)</f>
        <v>654040</v>
      </c>
      <c r="I80" s="171"/>
      <c r="J80" s="184">
        <f>SUM(J21,J55)</f>
        <v>1158488.1599999999</v>
      </c>
      <c r="K80" s="35"/>
      <c r="L80" s="38">
        <f>SUM(L21,L55)</f>
        <v>612040</v>
      </c>
      <c r="M80" s="171"/>
      <c r="N80" s="184">
        <f>SUM(N21,N55)</f>
        <v>751275.89</v>
      </c>
      <c r="O80" s="30"/>
      <c r="P80" s="225"/>
      <c r="Q80" s="38">
        <f>SUM(Q21,Q55)</f>
        <v>627000</v>
      </c>
    </row>
    <row r="81" spans="1:17" x14ac:dyDescent="0.25">
      <c r="A81" s="47" t="s">
        <v>144</v>
      </c>
      <c r="B81" s="31" t="s">
        <v>334</v>
      </c>
      <c r="C81" s="35"/>
      <c r="D81" s="40">
        <f>SUM(D80+D77)</f>
        <v>3168480</v>
      </c>
      <c r="E81" s="171"/>
      <c r="F81" s="174">
        <f>SUM(F77,F55,F21)</f>
        <v>2724700.4699999997</v>
      </c>
      <c r="G81" s="35"/>
      <c r="H81" s="40">
        <f>SUM(H80+H77)</f>
        <v>2736375</v>
      </c>
      <c r="I81" s="171"/>
      <c r="J81" s="174">
        <f>SUM(J77,J66,J55,J21)</f>
        <v>3984939.99</v>
      </c>
      <c r="K81" s="35"/>
      <c r="L81" s="40">
        <f>SUM(L80+L77)</f>
        <v>1870510</v>
      </c>
      <c r="M81" s="171"/>
      <c r="N81" s="174">
        <f>SUM(N77,N66,N55,N21)</f>
        <v>3321073.5000000005</v>
      </c>
      <c r="O81" s="39"/>
      <c r="P81" s="225"/>
      <c r="Q81" s="40">
        <f>SUM(Q80+Q77)</f>
        <v>923030</v>
      </c>
    </row>
    <row r="82" spans="1:17" ht="15.75" thickBot="1" x14ac:dyDescent="0.3">
      <c r="A82" s="57"/>
      <c r="B82" s="50"/>
      <c r="C82" s="48"/>
      <c r="D82" s="51"/>
      <c r="E82" s="185"/>
      <c r="F82" s="186"/>
      <c r="G82" s="48"/>
      <c r="H82" s="51"/>
      <c r="I82" s="185"/>
      <c r="J82" s="186"/>
      <c r="K82" s="48"/>
      <c r="L82" s="51"/>
      <c r="M82" s="185"/>
      <c r="N82" s="186"/>
      <c r="O82" s="28"/>
      <c r="P82" s="230"/>
      <c r="Q82" s="51"/>
    </row>
    <row r="83" spans="1:17" s="63" customFormat="1" ht="15.75" thickBot="1" x14ac:dyDescent="0.3">
      <c r="A83" s="203" t="s">
        <v>24</v>
      </c>
      <c r="B83" s="203"/>
      <c r="C83" s="61"/>
      <c r="D83" s="67"/>
      <c r="E83" s="61"/>
      <c r="F83" s="67"/>
      <c r="G83" s="61"/>
      <c r="H83" s="67"/>
      <c r="I83" s="61"/>
      <c r="J83" s="67"/>
      <c r="K83" s="61"/>
      <c r="L83" s="67"/>
      <c r="M83" s="61"/>
      <c r="N83" s="67"/>
      <c r="O83" s="28"/>
      <c r="P83" s="61"/>
      <c r="Q83" s="67"/>
    </row>
    <row r="84" spans="1:17" s="6" customFormat="1" x14ac:dyDescent="0.25">
      <c r="A84" s="81" t="s">
        <v>2</v>
      </c>
      <c r="B84" s="82" t="s">
        <v>3</v>
      </c>
      <c r="C84" s="42"/>
      <c r="D84" s="40"/>
      <c r="E84" s="173"/>
      <c r="F84" s="174"/>
      <c r="G84" s="42"/>
      <c r="H84" s="40"/>
      <c r="I84" s="173"/>
      <c r="J84" s="174"/>
      <c r="K84" s="42"/>
      <c r="L84" s="40"/>
      <c r="M84" s="173"/>
      <c r="N84" s="174"/>
      <c r="O84" s="39"/>
      <c r="P84" s="226"/>
      <c r="Q84" s="231"/>
    </row>
    <row r="85" spans="1:17" x14ac:dyDescent="0.25">
      <c r="A85" s="44" t="s">
        <v>92</v>
      </c>
      <c r="B85" s="25" t="s">
        <v>4</v>
      </c>
      <c r="C85" s="138"/>
      <c r="D85" s="40">
        <v>140000</v>
      </c>
      <c r="E85" s="175"/>
      <c r="F85" s="174">
        <v>129978.78</v>
      </c>
      <c r="G85" s="138"/>
      <c r="H85" s="40">
        <v>160000</v>
      </c>
      <c r="I85" s="175"/>
      <c r="J85" s="174">
        <v>142759.62</v>
      </c>
      <c r="K85" s="138"/>
      <c r="L85" s="40">
        <v>160000</v>
      </c>
      <c r="M85" s="175"/>
      <c r="N85" s="174">
        <v>121225.31</v>
      </c>
      <c r="O85" s="39"/>
      <c r="P85" s="225"/>
      <c r="Q85" s="40">
        <v>290000</v>
      </c>
    </row>
    <row r="86" spans="1:17" s="13" customFormat="1" x14ac:dyDescent="0.25">
      <c r="A86" s="83"/>
      <c r="B86" s="161"/>
      <c r="C86" s="35"/>
      <c r="D86" s="40"/>
      <c r="E86" s="175"/>
      <c r="F86" s="174"/>
      <c r="G86" s="35"/>
      <c r="H86" s="40"/>
      <c r="I86" s="175"/>
      <c r="J86" s="174"/>
      <c r="K86" s="35"/>
      <c r="L86" s="40"/>
      <c r="M86" s="175"/>
      <c r="N86" s="174"/>
      <c r="O86" s="39"/>
      <c r="P86" s="225"/>
      <c r="Q86" s="40"/>
    </row>
    <row r="87" spans="1:17" s="2" customFormat="1" x14ac:dyDescent="0.25">
      <c r="A87" s="96" t="s">
        <v>191</v>
      </c>
      <c r="B87" s="16" t="s">
        <v>192</v>
      </c>
      <c r="C87" s="53"/>
      <c r="D87" s="40">
        <f>SUM(C88:C89)</f>
        <v>39600</v>
      </c>
      <c r="E87" s="187"/>
      <c r="F87" s="174">
        <f>SUM(E88:E89)</f>
        <v>33300.400000000001</v>
      </c>
      <c r="G87" s="53"/>
      <c r="H87" s="40">
        <f>SUM(G88:G89)</f>
        <v>42500</v>
      </c>
      <c r="I87" s="187"/>
      <c r="J87" s="174">
        <f>SUM(I88:I89)</f>
        <v>33541.32</v>
      </c>
      <c r="K87" s="53"/>
      <c r="L87" s="40">
        <f>SUM(K88:K89)</f>
        <v>88800</v>
      </c>
      <c r="M87" s="187"/>
      <c r="N87" s="174">
        <f>SUM(M88:M89)</f>
        <v>57705.01</v>
      </c>
      <c r="O87" s="39"/>
      <c r="P87" s="232"/>
      <c r="Q87" s="40">
        <f>SUM(P88:P90)</f>
        <v>100840</v>
      </c>
    </row>
    <row r="88" spans="1:17" x14ac:dyDescent="0.25">
      <c r="A88" s="141" t="s">
        <v>5</v>
      </c>
      <c r="B88" s="142" t="s">
        <v>6</v>
      </c>
      <c r="C88" s="145">
        <v>12000</v>
      </c>
      <c r="D88" s="40"/>
      <c r="E88" s="179">
        <v>11667.74</v>
      </c>
      <c r="F88" s="174"/>
      <c r="G88" s="145">
        <v>12000</v>
      </c>
      <c r="H88" s="40"/>
      <c r="I88" s="179">
        <v>10633.34</v>
      </c>
      <c r="J88" s="174"/>
      <c r="K88" s="145">
        <v>12000</v>
      </c>
      <c r="L88" s="40"/>
      <c r="M88" s="179">
        <v>12000</v>
      </c>
      <c r="N88" s="174"/>
      <c r="O88" s="39"/>
      <c r="P88" s="228">
        <v>12000</v>
      </c>
      <c r="Q88" s="40"/>
    </row>
    <row r="89" spans="1:17" x14ac:dyDescent="0.25">
      <c r="A89" s="141" t="s">
        <v>75</v>
      </c>
      <c r="B89" s="142" t="s">
        <v>8</v>
      </c>
      <c r="C89" s="145">
        <v>27600</v>
      </c>
      <c r="D89" s="40"/>
      <c r="E89" s="179">
        <v>21632.66</v>
      </c>
      <c r="F89" s="174"/>
      <c r="G89" s="145">
        <v>30500</v>
      </c>
      <c r="H89" s="40"/>
      <c r="I89" s="179">
        <v>22907.98</v>
      </c>
      <c r="J89" s="174"/>
      <c r="K89" s="145">
        <v>76800</v>
      </c>
      <c r="L89" s="40"/>
      <c r="M89" s="179">
        <v>45705.01</v>
      </c>
      <c r="N89" s="174"/>
      <c r="O89" s="39"/>
      <c r="P89" s="228">
        <v>85000</v>
      </c>
      <c r="Q89" s="40"/>
    </row>
    <row r="90" spans="1:17" s="13" customFormat="1" x14ac:dyDescent="0.25">
      <c r="A90" s="143" t="s">
        <v>308</v>
      </c>
      <c r="B90" s="142" t="s">
        <v>309</v>
      </c>
      <c r="C90" s="79"/>
      <c r="D90" s="40"/>
      <c r="E90" s="180"/>
      <c r="F90" s="174"/>
      <c r="G90" s="79"/>
      <c r="H90" s="40"/>
      <c r="I90" s="180"/>
      <c r="J90" s="174"/>
      <c r="K90" s="79">
        <v>0</v>
      </c>
      <c r="L90" s="40"/>
      <c r="M90" s="180">
        <v>302.67</v>
      </c>
      <c r="N90" s="174"/>
      <c r="O90" s="39"/>
      <c r="P90" s="228">
        <v>3840</v>
      </c>
      <c r="Q90" s="40"/>
    </row>
    <row r="91" spans="1:17" x14ac:dyDescent="0.25">
      <c r="A91" s="47"/>
      <c r="B91" s="85" t="s">
        <v>246</v>
      </c>
      <c r="C91" s="35"/>
      <c r="D91" s="40"/>
      <c r="E91" s="180"/>
      <c r="F91" s="174"/>
      <c r="G91" s="35"/>
      <c r="H91" s="40"/>
      <c r="I91" s="180"/>
      <c r="J91" s="174"/>
      <c r="K91" s="35"/>
      <c r="L91" s="40"/>
      <c r="M91" s="180"/>
      <c r="N91" s="174"/>
      <c r="O91" s="39"/>
      <c r="P91" s="225"/>
      <c r="Q91" s="40"/>
    </row>
    <row r="92" spans="1:17" s="13" customFormat="1" x14ac:dyDescent="0.25">
      <c r="A92" s="44" t="s">
        <v>194</v>
      </c>
      <c r="B92" s="34" t="s">
        <v>193</v>
      </c>
      <c r="C92" s="35"/>
      <c r="D92" s="40">
        <f>SUM(C93:C94)</f>
        <v>2950</v>
      </c>
      <c r="E92" s="179"/>
      <c r="F92" s="174">
        <f>SUM(E93:E94)</f>
        <v>3080</v>
      </c>
      <c r="G92" s="35"/>
      <c r="H92" s="40">
        <f>SUM(G93:G94)</f>
        <v>4100</v>
      </c>
      <c r="I92" s="179"/>
      <c r="J92" s="174">
        <f>SUM(I93:I94)</f>
        <v>7200</v>
      </c>
      <c r="K92" s="35"/>
      <c r="L92" s="40">
        <f>SUM(K93:K94)</f>
        <v>4100</v>
      </c>
      <c r="M92" s="179"/>
      <c r="N92" s="174">
        <f>SUM(M93:M94)</f>
        <v>6720</v>
      </c>
      <c r="O92" s="39"/>
      <c r="P92" s="225"/>
      <c r="Q92" s="40">
        <f>SUM(P93:P94)</f>
        <v>11800</v>
      </c>
    </row>
    <row r="93" spans="1:17" x14ac:dyDescent="0.25">
      <c r="A93" s="143" t="s">
        <v>76</v>
      </c>
      <c r="B93" s="142" t="s">
        <v>240</v>
      </c>
      <c r="C93" s="145">
        <v>2450</v>
      </c>
      <c r="D93" s="40"/>
      <c r="E93" s="179">
        <v>2990</v>
      </c>
      <c r="F93" s="174"/>
      <c r="G93" s="145">
        <v>3600</v>
      </c>
      <c r="H93" s="40"/>
      <c r="I93" s="179">
        <v>7050</v>
      </c>
      <c r="J93" s="174"/>
      <c r="K93" s="145">
        <v>3600</v>
      </c>
      <c r="L93" s="40"/>
      <c r="M93" s="179">
        <v>6510</v>
      </c>
      <c r="N93" s="174"/>
      <c r="O93" s="39"/>
      <c r="P93" s="228">
        <v>11000</v>
      </c>
      <c r="Q93" s="40"/>
    </row>
    <row r="94" spans="1:17" x14ac:dyDescent="0.25">
      <c r="A94" s="143" t="s">
        <v>77</v>
      </c>
      <c r="B94" s="142" t="s">
        <v>7</v>
      </c>
      <c r="C94" s="145">
        <v>500</v>
      </c>
      <c r="D94" s="40"/>
      <c r="E94" s="179">
        <v>90</v>
      </c>
      <c r="F94" s="174"/>
      <c r="G94" s="145">
        <v>500</v>
      </c>
      <c r="H94" s="40"/>
      <c r="I94" s="179">
        <v>150</v>
      </c>
      <c r="J94" s="174"/>
      <c r="K94" s="145">
        <v>500</v>
      </c>
      <c r="L94" s="40"/>
      <c r="M94" s="179">
        <v>210</v>
      </c>
      <c r="N94" s="174"/>
      <c r="O94" s="39"/>
      <c r="P94" s="228">
        <v>800</v>
      </c>
      <c r="Q94" s="40"/>
    </row>
    <row r="95" spans="1:17" s="13" customFormat="1" x14ac:dyDescent="0.25">
      <c r="A95" s="163"/>
      <c r="B95" s="164"/>
      <c r="C95" s="79"/>
      <c r="D95" s="40"/>
      <c r="E95" s="175"/>
      <c r="F95" s="174"/>
      <c r="G95" s="79"/>
      <c r="H95" s="40"/>
      <c r="I95" s="175"/>
      <c r="J95" s="174"/>
      <c r="K95" s="79"/>
      <c r="L95" s="40"/>
      <c r="M95" s="175"/>
      <c r="N95" s="174"/>
      <c r="O95" s="39"/>
      <c r="P95" s="228"/>
      <c r="Q95" s="40"/>
    </row>
    <row r="96" spans="1:17" s="2" customFormat="1" x14ac:dyDescent="0.25">
      <c r="A96" s="97" t="s">
        <v>195</v>
      </c>
      <c r="B96" s="16" t="s">
        <v>196</v>
      </c>
      <c r="C96" s="147"/>
      <c r="D96" s="40">
        <v>6700</v>
      </c>
      <c r="E96" s="188"/>
      <c r="F96" s="174">
        <v>6350</v>
      </c>
      <c r="G96" s="147"/>
      <c r="H96" s="40">
        <v>9750</v>
      </c>
      <c r="I96" s="188"/>
      <c r="J96" s="174">
        <f>SUM(I97:I98)</f>
        <v>4450</v>
      </c>
      <c r="K96" s="147"/>
      <c r="L96" s="40">
        <v>9750</v>
      </c>
      <c r="M96" s="188"/>
      <c r="N96" s="174">
        <f>SUM(M97:M98)</f>
        <v>7375.58</v>
      </c>
      <c r="O96" s="39"/>
      <c r="P96" s="232"/>
      <c r="Q96" s="40">
        <v>9750</v>
      </c>
    </row>
    <row r="97" spans="1:27" x14ac:dyDescent="0.25">
      <c r="A97" s="143" t="s">
        <v>102</v>
      </c>
      <c r="B97" s="142" t="s">
        <v>199</v>
      </c>
      <c r="C97" s="145"/>
      <c r="D97" s="144"/>
      <c r="E97" s="179"/>
      <c r="F97" s="174"/>
      <c r="G97" s="145"/>
      <c r="H97" s="144"/>
      <c r="I97" s="179">
        <v>4450</v>
      </c>
      <c r="J97" s="174"/>
      <c r="K97" s="145"/>
      <c r="L97" s="144"/>
      <c r="M97" s="179">
        <v>7125.58</v>
      </c>
      <c r="N97" s="174"/>
      <c r="O97" s="39"/>
      <c r="P97" s="228">
        <v>9250</v>
      </c>
      <c r="Q97" s="144"/>
    </row>
    <row r="98" spans="1:27" x14ac:dyDescent="0.25">
      <c r="A98" s="143" t="s">
        <v>197</v>
      </c>
      <c r="B98" s="142" t="s">
        <v>198</v>
      </c>
      <c r="C98" s="79"/>
      <c r="D98" s="144"/>
      <c r="E98" s="179"/>
      <c r="F98" s="174"/>
      <c r="G98" s="79"/>
      <c r="H98" s="144"/>
      <c r="I98" s="179">
        <v>0</v>
      </c>
      <c r="J98" s="174"/>
      <c r="K98" s="79"/>
      <c r="L98" s="144"/>
      <c r="M98" s="179">
        <v>250</v>
      </c>
      <c r="N98" s="174"/>
      <c r="O98" s="39"/>
      <c r="P98" s="228">
        <v>500</v>
      </c>
      <c r="Q98" s="144"/>
    </row>
    <row r="99" spans="1:27" s="13" customFormat="1" x14ac:dyDescent="0.25">
      <c r="A99" s="165"/>
      <c r="B99" s="161"/>
      <c r="C99" s="35"/>
      <c r="D99" s="40"/>
      <c r="E99" s="175"/>
      <c r="F99" s="174"/>
      <c r="G99" s="35"/>
      <c r="H99" s="40"/>
      <c r="I99" s="175"/>
      <c r="J99" s="174"/>
      <c r="K99" s="35"/>
      <c r="L99" s="40"/>
      <c r="M99" s="175"/>
      <c r="N99" s="174"/>
      <c r="O99" s="39"/>
      <c r="P99" s="225"/>
      <c r="Q99" s="40"/>
    </row>
    <row r="100" spans="1:27" s="2" customFormat="1" x14ac:dyDescent="0.25">
      <c r="A100" s="97" t="s">
        <v>203</v>
      </c>
      <c r="B100" s="16" t="s">
        <v>204</v>
      </c>
      <c r="C100" s="53"/>
      <c r="D100" s="40">
        <v>7000</v>
      </c>
      <c r="E100" s="188"/>
      <c r="F100" s="174">
        <v>536</v>
      </c>
      <c r="G100" s="53"/>
      <c r="H100" s="40">
        <f>SUM(G101:G102)</f>
        <v>11100</v>
      </c>
      <c r="I100" s="188"/>
      <c r="J100" s="174">
        <f>SUM(I101:I102)</f>
        <v>2731.17</v>
      </c>
      <c r="K100" s="53"/>
      <c r="L100" s="40">
        <f>SUM(K101:K102)</f>
        <v>11100</v>
      </c>
      <c r="M100" s="188"/>
      <c r="N100" s="174">
        <f>SUM(M101:M102)</f>
        <v>7049.46</v>
      </c>
      <c r="O100" s="39"/>
      <c r="P100" s="232"/>
      <c r="Q100" s="40">
        <f>SUM(P101:P102)</f>
        <v>11200</v>
      </c>
    </row>
    <row r="101" spans="1:27" s="13" customFormat="1" x14ac:dyDescent="0.25">
      <c r="A101" s="143" t="s">
        <v>310</v>
      </c>
      <c r="B101" s="142" t="s">
        <v>202</v>
      </c>
      <c r="C101" s="146"/>
      <c r="D101" s="144"/>
      <c r="E101" s="189"/>
      <c r="F101" s="174"/>
      <c r="G101" s="146">
        <v>2100</v>
      </c>
      <c r="H101" s="144"/>
      <c r="I101" s="189">
        <v>2461.87</v>
      </c>
      <c r="J101" s="174"/>
      <c r="K101" s="146">
        <v>2100</v>
      </c>
      <c r="L101" s="144"/>
      <c r="M101" s="189">
        <v>2409.46</v>
      </c>
      <c r="N101" s="174"/>
      <c r="O101" s="39"/>
      <c r="P101" s="233">
        <v>2200</v>
      </c>
      <c r="Q101" s="144"/>
    </row>
    <row r="102" spans="1:27" s="13" customFormat="1" x14ac:dyDescent="0.25">
      <c r="A102" s="143" t="s">
        <v>200</v>
      </c>
      <c r="B102" s="142" t="s">
        <v>201</v>
      </c>
      <c r="C102" s="145"/>
      <c r="D102" s="144"/>
      <c r="E102" s="179"/>
      <c r="F102" s="174"/>
      <c r="G102" s="145">
        <v>9000</v>
      </c>
      <c r="H102" s="144"/>
      <c r="I102" s="179">
        <v>269.3</v>
      </c>
      <c r="J102" s="174"/>
      <c r="K102" s="145">
        <v>9000</v>
      </c>
      <c r="L102" s="144"/>
      <c r="M102" s="179">
        <v>4640</v>
      </c>
      <c r="N102" s="174"/>
      <c r="O102" s="39"/>
      <c r="P102" s="228">
        <v>9000</v>
      </c>
      <c r="Q102" s="144"/>
    </row>
    <row r="103" spans="1:27" x14ac:dyDescent="0.25">
      <c r="A103" s="47"/>
      <c r="B103" s="28"/>
      <c r="C103" s="35"/>
      <c r="D103" s="40"/>
      <c r="E103" s="175"/>
      <c r="F103" s="174"/>
      <c r="G103" s="35"/>
      <c r="H103" s="40"/>
      <c r="I103" s="175"/>
      <c r="J103" s="174"/>
      <c r="K103" s="35"/>
      <c r="L103" s="40"/>
      <c r="M103" s="175"/>
      <c r="N103" s="174"/>
      <c r="O103" s="39"/>
      <c r="P103" s="225"/>
      <c r="Q103" s="40"/>
    </row>
    <row r="104" spans="1:27" s="6" customFormat="1" ht="15.75" thickBot="1" x14ac:dyDescent="0.3">
      <c r="A104" s="69" t="s">
        <v>145</v>
      </c>
      <c r="B104" s="70" t="s">
        <v>3</v>
      </c>
      <c r="C104" s="71"/>
      <c r="D104" s="76">
        <f>SUM(D84:D103)</f>
        <v>196250</v>
      </c>
      <c r="E104" s="71"/>
      <c r="F104" s="76">
        <f>SUM(F84:F103)</f>
        <v>173245.18</v>
      </c>
      <c r="G104" s="71"/>
      <c r="H104" s="76">
        <f>SUM(H84:H103)</f>
        <v>227450</v>
      </c>
      <c r="I104" s="71"/>
      <c r="J104" s="76">
        <f>SUM(J84:J103)</f>
        <v>190682.11000000002</v>
      </c>
      <c r="K104" s="71"/>
      <c r="L104" s="76">
        <f>SUM(L84:L103)</f>
        <v>273750</v>
      </c>
      <c r="M104" s="71"/>
      <c r="N104" s="76">
        <f>SUM(N84:N103)</f>
        <v>200075.36</v>
      </c>
      <c r="O104" s="220"/>
      <c r="P104" s="73"/>
      <c r="Q104" s="76">
        <f>SUM(Q84:Q103)</f>
        <v>423590</v>
      </c>
    </row>
    <row r="105" spans="1:27" s="63" customFormat="1" ht="15.75" thickBot="1" x14ac:dyDescent="0.3">
      <c r="A105" s="58"/>
      <c r="B105" s="59"/>
      <c r="C105" s="61"/>
      <c r="D105" s="62"/>
      <c r="E105" s="61"/>
      <c r="F105" s="62"/>
      <c r="G105" s="61"/>
      <c r="H105" s="62"/>
      <c r="I105" s="61"/>
      <c r="J105" s="62"/>
      <c r="K105" s="61"/>
      <c r="L105" s="62"/>
      <c r="M105" s="61"/>
      <c r="N105" s="62"/>
      <c r="O105" s="28"/>
      <c r="P105" s="61"/>
      <c r="Q105" s="62"/>
    </row>
    <row r="106" spans="1:27" s="6" customFormat="1" x14ac:dyDescent="0.25">
      <c r="A106" s="81" t="s">
        <v>9</v>
      </c>
      <c r="B106" s="82" t="s">
        <v>57</v>
      </c>
      <c r="C106" s="42"/>
      <c r="D106" s="35"/>
      <c r="E106" s="173"/>
      <c r="F106" s="174"/>
      <c r="G106" s="42"/>
      <c r="H106" s="35"/>
      <c r="I106" s="173"/>
      <c r="J106" s="174"/>
      <c r="K106" s="42"/>
      <c r="L106" s="35"/>
      <c r="M106" s="173"/>
      <c r="N106" s="174"/>
      <c r="O106" s="39"/>
      <c r="P106" s="226"/>
      <c r="Q106" s="231"/>
      <c r="R106" s="84"/>
      <c r="S106" s="84"/>
      <c r="T106" s="84"/>
      <c r="U106" s="84"/>
      <c r="V106" s="84"/>
      <c r="W106" s="84"/>
      <c r="X106" s="84"/>
      <c r="Y106" s="84"/>
      <c r="Z106" s="84"/>
      <c r="AA106" s="84"/>
    </row>
    <row r="107" spans="1:27" s="2" customFormat="1" x14ac:dyDescent="0.25">
      <c r="A107" s="97" t="s">
        <v>205</v>
      </c>
      <c r="B107" s="98" t="s">
        <v>206</v>
      </c>
      <c r="C107" s="147"/>
      <c r="D107" s="35">
        <f>SUM(C108:C114)</f>
        <v>46400</v>
      </c>
      <c r="E107" s="175"/>
      <c r="F107" s="174">
        <f>SUM(E108:E114)</f>
        <v>22482.02</v>
      </c>
      <c r="G107" s="147"/>
      <c r="H107" s="35">
        <f>SUM(G108:G114)</f>
        <v>47200</v>
      </c>
      <c r="I107" s="175"/>
      <c r="J107" s="174">
        <f>SUM(I108:I114)</f>
        <v>25770.800000000007</v>
      </c>
      <c r="K107" s="147"/>
      <c r="L107" s="35">
        <f>SUM(K108:K114)</f>
        <v>48400</v>
      </c>
      <c r="M107" s="175"/>
      <c r="N107" s="174">
        <f>SUM(M108:M114)</f>
        <v>48495.67</v>
      </c>
      <c r="O107" s="39"/>
      <c r="P107" s="232"/>
      <c r="Q107" s="40">
        <f>SUM(P108:P114)</f>
        <v>40400</v>
      </c>
    </row>
    <row r="108" spans="1:27" x14ac:dyDescent="0.25">
      <c r="A108" s="141" t="s">
        <v>64</v>
      </c>
      <c r="B108" s="142" t="s">
        <v>59</v>
      </c>
      <c r="C108" s="145">
        <v>25000</v>
      </c>
      <c r="D108" s="35"/>
      <c r="E108" s="179">
        <v>8888.15</v>
      </c>
      <c r="F108" s="174"/>
      <c r="G108" s="145">
        <v>25000</v>
      </c>
      <c r="H108" s="35"/>
      <c r="I108" s="179">
        <v>10362.02</v>
      </c>
      <c r="J108" s="174"/>
      <c r="K108" s="145">
        <v>25000</v>
      </c>
      <c r="L108" s="35"/>
      <c r="M108" s="179">
        <v>21601.54</v>
      </c>
      <c r="N108" s="174"/>
      <c r="O108" s="39"/>
      <c r="P108" s="228">
        <v>20000</v>
      </c>
      <c r="Q108" s="40"/>
      <c r="R108" s="243"/>
      <c r="S108" s="27"/>
    </row>
    <row r="109" spans="1:27" x14ac:dyDescent="0.25">
      <c r="A109" s="141" t="s">
        <v>65</v>
      </c>
      <c r="B109" s="142" t="s">
        <v>71</v>
      </c>
      <c r="C109" s="145">
        <v>1000</v>
      </c>
      <c r="D109" s="35"/>
      <c r="E109" s="179">
        <v>426.85</v>
      </c>
      <c r="F109" s="174"/>
      <c r="G109" s="145">
        <v>1000</v>
      </c>
      <c r="H109" s="35"/>
      <c r="I109" s="179">
        <v>644.70000000000005</v>
      </c>
      <c r="J109" s="174"/>
      <c r="K109" s="145">
        <v>2000</v>
      </c>
      <c r="L109" s="35"/>
      <c r="M109" s="179">
        <v>853</v>
      </c>
      <c r="N109" s="174"/>
      <c r="O109" s="39"/>
      <c r="P109" s="228">
        <v>1500</v>
      </c>
      <c r="Q109" s="40"/>
      <c r="R109" s="243"/>
      <c r="S109" s="27"/>
    </row>
    <row r="110" spans="1:27" x14ac:dyDescent="0.25">
      <c r="A110" s="141" t="s">
        <v>66</v>
      </c>
      <c r="B110" s="142" t="s">
        <v>60</v>
      </c>
      <c r="C110" s="145">
        <v>12000</v>
      </c>
      <c r="D110" s="35"/>
      <c r="E110" s="179">
        <v>9212.18</v>
      </c>
      <c r="F110" s="174"/>
      <c r="G110" s="145">
        <v>12000</v>
      </c>
      <c r="H110" s="35"/>
      <c r="I110" s="179">
        <v>11564.72</v>
      </c>
      <c r="J110" s="174"/>
      <c r="K110" s="145">
        <v>12000</v>
      </c>
      <c r="L110" s="35"/>
      <c r="M110" s="179">
        <v>22451.79</v>
      </c>
      <c r="N110" s="174"/>
      <c r="O110" s="39"/>
      <c r="P110" s="228">
        <v>10000</v>
      </c>
      <c r="Q110" s="40"/>
      <c r="R110" s="243"/>
      <c r="S110" s="27"/>
    </row>
    <row r="111" spans="1:27" x14ac:dyDescent="0.25">
      <c r="A111" s="141" t="s">
        <v>67</v>
      </c>
      <c r="B111" s="142" t="s">
        <v>58</v>
      </c>
      <c r="C111" s="145">
        <v>1000</v>
      </c>
      <c r="D111" s="35"/>
      <c r="E111" s="179">
        <v>0</v>
      </c>
      <c r="F111" s="174"/>
      <c r="G111" s="145">
        <v>1800</v>
      </c>
      <c r="H111" s="35"/>
      <c r="I111" s="179">
        <v>0</v>
      </c>
      <c r="J111" s="174"/>
      <c r="K111" s="145">
        <v>1800</v>
      </c>
      <c r="L111" s="35"/>
      <c r="M111" s="179">
        <v>38</v>
      </c>
      <c r="N111" s="174"/>
      <c r="O111" s="39"/>
      <c r="P111" s="228">
        <v>1800</v>
      </c>
      <c r="Q111" s="40"/>
      <c r="R111" s="243"/>
      <c r="S111" s="27"/>
    </row>
    <row r="112" spans="1:27" x14ac:dyDescent="0.25">
      <c r="A112" s="141" t="s">
        <v>68</v>
      </c>
      <c r="B112" s="142" t="s">
        <v>61</v>
      </c>
      <c r="C112" s="145">
        <v>5000</v>
      </c>
      <c r="D112" s="35"/>
      <c r="E112" s="179">
        <v>1859.79</v>
      </c>
      <c r="F112" s="174"/>
      <c r="G112" s="145">
        <v>5000</v>
      </c>
      <c r="H112" s="35"/>
      <c r="I112" s="179">
        <v>1696.81</v>
      </c>
      <c r="J112" s="174"/>
      <c r="K112" s="145">
        <v>5000</v>
      </c>
      <c r="L112" s="35"/>
      <c r="M112" s="179">
        <v>1670.81</v>
      </c>
      <c r="N112" s="174"/>
      <c r="O112" s="39"/>
      <c r="P112" s="228">
        <v>5000</v>
      </c>
      <c r="Q112" s="40"/>
      <c r="R112" s="243"/>
      <c r="S112" s="27"/>
    </row>
    <row r="113" spans="1:19" x14ac:dyDescent="0.25">
      <c r="A113" s="141" t="s">
        <v>69</v>
      </c>
      <c r="B113" s="142" t="s">
        <v>62</v>
      </c>
      <c r="C113" s="145">
        <v>1000</v>
      </c>
      <c r="D113" s="35"/>
      <c r="E113" s="179">
        <v>1096.3900000000001</v>
      </c>
      <c r="F113" s="174"/>
      <c r="G113" s="145">
        <v>1000</v>
      </c>
      <c r="H113" s="35"/>
      <c r="I113" s="179">
        <v>781.83</v>
      </c>
      <c r="J113" s="174"/>
      <c r="K113" s="145">
        <v>1200</v>
      </c>
      <c r="L113" s="35"/>
      <c r="M113" s="179">
        <v>1123.46</v>
      </c>
      <c r="N113" s="174"/>
      <c r="O113" s="39"/>
      <c r="P113" s="228">
        <v>1200</v>
      </c>
      <c r="Q113" s="40"/>
      <c r="R113" s="243"/>
      <c r="S113" s="27"/>
    </row>
    <row r="114" spans="1:19" x14ac:dyDescent="0.25">
      <c r="A114" s="141" t="s">
        <v>80</v>
      </c>
      <c r="B114" s="142" t="s">
        <v>70</v>
      </c>
      <c r="C114" s="145">
        <v>1400</v>
      </c>
      <c r="D114" s="35"/>
      <c r="E114" s="179">
        <v>998.66</v>
      </c>
      <c r="F114" s="174"/>
      <c r="G114" s="145">
        <v>1400</v>
      </c>
      <c r="H114" s="35"/>
      <c r="I114" s="179">
        <v>720.72</v>
      </c>
      <c r="J114" s="174"/>
      <c r="K114" s="145">
        <v>1400</v>
      </c>
      <c r="L114" s="35"/>
      <c r="M114" s="179">
        <v>757.07</v>
      </c>
      <c r="N114" s="174"/>
      <c r="O114" s="39"/>
      <c r="P114" s="228">
        <v>900</v>
      </c>
      <c r="Q114" s="40"/>
      <c r="R114" s="243"/>
      <c r="S114" s="27"/>
    </row>
    <row r="115" spans="1:19" x14ac:dyDescent="0.25">
      <c r="A115" s="47"/>
      <c r="B115" s="27"/>
      <c r="C115" s="35"/>
      <c r="D115" s="35"/>
      <c r="E115" s="175"/>
      <c r="F115" s="174"/>
      <c r="G115" s="35"/>
      <c r="H115" s="35"/>
      <c r="I115" s="175"/>
      <c r="J115" s="174"/>
      <c r="K115" s="35"/>
      <c r="L115" s="35"/>
      <c r="M115" s="175"/>
      <c r="N115" s="174"/>
      <c r="O115" s="39"/>
      <c r="P115" s="225"/>
      <c r="Q115" s="40"/>
      <c r="S115" s="4"/>
    </row>
    <row r="116" spans="1:19" x14ac:dyDescent="0.25">
      <c r="A116" s="44" t="s">
        <v>84</v>
      </c>
      <c r="B116" s="25" t="s">
        <v>94</v>
      </c>
      <c r="C116" s="138"/>
      <c r="D116" s="35">
        <v>1500</v>
      </c>
      <c r="E116" s="175"/>
      <c r="F116" s="174">
        <v>1937</v>
      </c>
      <c r="G116" s="138"/>
      <c r="H116" s="35">
        <v>2000</v>
      </c>
      <c r="I116" s="175"/>
      <c r="J116" s="174">
        <v>9.8800000000000008</v>
      </c>
      <c r="K116" s="138"/>
      <c r="L116" s="35">
        <v>7500</v>
      </c>
      <c r="M116" s="175"/>
      <c r="N116" s="174">
        <v>2768.74</v>
      </c>
      <c r="O116" s="39"/>
      <c r="P116" s="225"/>
      <c r="Q116" s="40">
        <v>5000</v>
      </c>
    </row>
    <row r="117" spans="1:19" s="13" customFormat="1" x14ac:dyDescent="0.25">
      <c r="A117" s="159" t="s">
        <v>249</v>
      </c>
      <c r="B117" s="27" t="s">
        <v>306</v>
      </c>
      <c r="C117" s="35"/>
      <c r="D117" s="35"/>
      <c r="E117" s="175"/>
      <c r="F117" s="174"/>
      <c r="G117" s="35"/>
      <c r="H117" s="35"/>
      <c r="I117" s="175"/>
      <c r="J117" s="174"/>
      <c r="K117" s="35"/>
      <c r="L117" s="35"/>
      <c r="M117" s="175"/>
      <c r="N117" s="174"/>
      <c r="O117" s="39"/>
      <c r="P117" s="225"/>
      <c r="Q117" s="40"/>
    </row>
    <row r="118" spans="1:19" ht="15" customHeight="1" x14ac:dyDescent="0.25">
      <c r="A118" s="47"/>
      <c r="B118" s="27"/>
      <c r="C118" s="35"/>
      <c r="D118" s="35"/>
      <c r="E118" s="175"/>
      <c r="F118" s="174"/>
      <c r="G118" s="35"/>
      <c r="H118" s="35"/>
      <c r="I118" s="175"/>
      <c r="J118" s="174"/>
      <c r="K118" s="35"/>
      <c r="L118" s="35"/>
      <c r="M118" s="175"/>
      <c r="N118" s="174"/>
      <c r="O118" s="39"/>
      <c r="P118" s="225"/>
      <c r="Q118" s="40"/>
    </row>
    <row r="119" spans="1:19" s="2" customFormat="1" ht="15" customHeight="1" x14ac:dyDescent="0.25">
      <c r="A119" s="99" t="s">
        <v>207</v>
      </c>
      <c r="B119" s="5" t="s">
        <v>208</v>
      </c>
      <c r="C119" s="53"/>
      <c r="D119" s="35">
        <f>SUM(C120:C122)</f>
        <v>9500</v>
      </c>
      <c r="E119" s="188"/>
      <c r="F119" s="174">
        <f>SUM(E120:E122)</f>
        <v>17.420000000000002</v>
      </c>
      <c r="G119" s="53"/>
      <c r="H119" s="35">
        <f>SUM(G120:G122)</f>
        <v>11500</v>
      </c>
      <c r="I119" s="188"/>
      <c r="J119" s="174">
        <f>SUM(I120:I122)</f>
        <v>1239.45</v>
      </c>
      <c r="K119" s="53"/>
      <c r="L119" s="35">
        <f>SUM(K120:K122)</f>
        <v>11500</v>
      </c>
      <c r="M119" s="188"/>
      <c r="N119" s="174">
        <f>SUM(M120:M122)</f>
        <v>3740.9300000000003</v>
      </c>
      <c r="O119" s="39"/>
      <c r="P119" s="232"/>
      <c r="Q119" s="40">
        <f>SUM(P120:P122)</f>
        <v>11000</v>
      </c>
    </row>
    <row r="120" spans="1:19" x14ac:dyDescent="0.25">
      <c r="A120" s="44" t="s">
        <v>99</v>
      </c>
      <c r="B120" s="25" t="s">
        <v>100</v>
      </c>
      <c r="C120" s="145">
        <v>4000</v>
      </c>
      <c r="D120" s="35"/>
      <c r="E120" s="179">
        <v>0</v>
      </c>
      <c r="F120" s="174"/>
      <c r="G120" s="145">
        <v>4000</v>
      </c>
      <c r="H120" s="35"/>
      <c r="I120" s="179">
        <v>442.25</v>
      </c>
      <c r="J120" s="174"/>
      <c r="K120" s="145">
        <v>4000</v>
      </c>
      <c r="L120" s="35"/>
      <c r="M120" s="179">
        <f>3310.05+70</f>
        <v>3380.05</v>
      </c>
      <c r="N120" s="174"/>
      <c r="O120" s="39"/>
      <c r="P120" s="228">
        <v>4000</v>
      </c>
      <c r="Q120" s="40"/>
    </row>
    <row r="121" spans="1:19" x14ac:dyDescent="0.25">
      <c r="A121" s="141" t="s">
        <v>101</v>
      </c>
      <c r="B121" s="142" t="s">
        <v>183</v>
      </c>
      <c r="C121" s="145">
        <v>4000</v>
      </c>
      <c r="D121" s="35"/>
      <c r="E121" s="179">
        <v>0</v>
      </c>
      <c r="F121" s="174"/>
      <c r="G121" s="145">
        <v>6000</v>
      </c>
      <c r="H121" s="35"/>
      <c r="I121" s="179">
        <v>797.2</v>
      </c>
      <c r="J121" s="174"/>
      <c r="K121" s="145">
        <v>6000</v>
      </c>
      <c r="L121" s="35"/>
      <c r="M121" s="179">
        <v>322</v>
      </c>
      <c r="N121" s="174"/>
      <c r="O121" s="39"/>
      <c r="P121" s="228">
        <v>6000</v>
      </c>
      <c r="Q121" s="40"/>
    </row>
    <row r="122" spans="1:19" x14ac:dyDescent="0.25">
      <c r="A122" s="141" t="s">
        <v>116</v>
      </c>
      <c r="B122" s="142" t="s">
        <v>115</v>
      </c>
      <c r="C122" s="145">
        <v>1500</v>
      </c>
      <c r="D122" s="35"/>
      <c r="E122" s="179">
        <v>17.420000000000002</v>
      </c>
      <c r="F122" s="174"/>
      <c r="G122" s="145">
        <v>1500</v>
      </c>
      <c r="H122" s="35"/>
      <c r="I122" s="179">
        <v>0</v>
      </c>
      <c r="J122" s="174"/>
      <c r="K122" s="145">
        <v>1500</v>
      </c>
      <c r="L122" s="35"/>
      <c r="M122" s="179">
        <v>38.880000000000003</v>
      </c>
      <c r="N122" s="174"/>
      <c r="O122" s="39"/>
      <c r="P122" s="228">
        <v>1000</v>
      </c>
      <c r="Q122" s="40"/>
    </row>
    <row r="123" spans="1:19" x14ac:dyDescent="0.25">
      <c r="A123" s="47"/>
      <c r="B123" s="28"/>
      <c r="C123" s="35"/>
      <c r="D123" s="35"/>
      <c r="E123" s="175"/>
      <c r="F123" s="174"/>
      <c r="G123" s="35"/>
      <c r="H123" s="35"/>
      <c r="I123" s="175"/>
      <c r="J123" s="174"/>
      <c r="K123" s="35"/>
      <c r="L123" s="35"/>
      <c r="M123" s="175"/>
      <c r="N123" s="174"/>
      <c r="O123" s="39"/>
      <c r="P123" s="225"/>
      <c r="Q123" s="40"/>
    </row>
    <row r="124" spans="1:19" x14ac:dyDescent="0.25">
      <c r="A124" s="44" t="s">
        <v>93</v>
      </c>
      <c r="B124" s="25" t="s">
        <v>245</v>
      </c>
      <c r="C124" s="138"/>
      <c r="D124" s="35">
        <v>3000</v>
      </c>
      <c r="E124" s="175"/>
      <c r="F124" s="174">
        <v>303.27</v>
      </c>
      <c r="G124" s="138"/>
      <c r="H124" s="35">
        <v>3000</v>
      </c>
      <c r="I124" s="175"/>
      <c r="J124" s="174">
        <v>1664.13</v>
      </c>
      <c r="K124" s="138"/>
      <c r="L124" s="35">
        <v>3000</v>
      </c>
      <c r="M124" s="175"/>
      <c r="N124" s="174">
        <v>3168.84</v>
      </c>
      <c r="O124" s="39"/>
      <c r="P124" s="225"/>
      <c r="Q124" s="40">
        <v>3500</v>
      </c>
    </row>
    <row r="125" spans="1:19" s="13" customFormat="1" x14ac:dyDescent="0.25">
      <c r="A125" s="44"/>
      <c r="B125" s="25"/>
      <c r="C125" s="138"/>
      <c r="D125" s="35"/>
      <c r="E125" s="175"/>
      <c r="F125" s="174"/>
      <c r="G125" s="138"/>
      <c r="H125" s="35"/>
      <c r="I125" s="175"/>
      <c r="J125" s="174"/>
      <c r="K125" s="138"/>
      <c r="L125" s="35"/>
      <c r="M125" s="175"/>
      <c r="N125" s="174"/>
      <c r="O125" s="39"/>
      <c r="P125" s="225"/>
      <c r="Q125" s="40"/>
    </row>
    <row r="126" spans="1:19" s="13" customFormat="1" x14ac:dyDescent="0.25">
      <c r="A126" s="44" t="s">
        <v>211</v>
      </c>
      <c r="B126" s="25" t="s">
        <v>72</v>
      </c>
      <c r="C126" s="35"/>
      <c r="D126" s="35">
        <f>SUM(C127:C129)</f>
        <v>33000</v>
      </c>
      <c r="E126" s="175"/>
      <c r="F126" s="174">
        <f>SUM(E127:E129)</f>
        <v>21579.5</v>
      </c>
      <c r="G126" s="35"/>
      <c r="H126" s="35">
        <f>SUM(G127:G129)</f>
        <v>24500</v>
      </c>
      <c r="I126" s="175"/>
      <c r="J126" s="174">
        <f>SUM(I127:I129)</f>
        <v>11087.189999999999</v>
      </c>
      <c r="K126" s="35"/>
      <c r="L126" s="35">
        <f>SUM(K127:K129)</f>
        <v>20912.12</v>
      </c>
      <c r="M126" s="175"/>
      <c r="N126" s="174">
        <f>SUM(M127:M129)</f>
        <v>11936.310000000001</v>
      </c>
      <c r="O126" s="39"/>
      <c r="P126" s="225"/>
      <c r="Q126" s="40">
        <f>SUM(P127:P130)</f>
        <v>22500</v>
      </c>
    </row>
    <row r="127" spans="1:19" x14ac:dyDescent="0.25">
      <c r="A127" s="141" t="s">
        <v>103</v>
      </c>
      <c r="B127" s="142" t="s">
        <v>212</v>
      </c>
      <c r="C127" s="145">
        <v>15000</v>
      </c>
      <c r="D127" s="35"/>
      <c r="E127" s="190">
        <v>7130.22</v>
      </c>
      <c r="F127" s="174"/>
      <c r="G127" s="145">
        <v>15000</v>
      </c>
      <c r="H127" s="35"/>
      <c r="I127" s="190">
        <v>2999.34</v>
      </c>
      <c r="J127" s="174"/>
      <c r="K127" s="145">
        <v>15000</v>
      </c>
      <c r="L127" s="35"/>
      <c r="M127" s="190">
        <v>3448.12</v>
      </c>
      <c r="N127" s="174"/>
      <c r="O127" s="39"/>
      <c r="P127" s="228">
        <v>15000</v>
      </c>
      <c r="Q127" s="40"/>
    </row>
    <row r="128" spans="1:19" s="13" customFormat="1" x14ac:dyDescent="0.25">
      <c r="A128" s="160" t="s">
        <v>179</v>
      </c>
      <c r="B128" s="142" t="s">
        <v>180</v>
      </c>
      <c r="C128" s="157">
        <v>18000</v>
      </c>
      <c r="D128" s="35"/>
      <c r="E128" s="190">
        <v>14449.28</v>
      </c>
      <c r="F128" s="174"/>
      <c r="G128" s="157">
        <v>8000</v>
      </c>
      <c r="H128" s="35"/>
      <c r="I128" s="190">
        <v>5412.12</v>
      </c>
      <c r="J128" s="174"/>
      <c r="K128" s="157">
        <f>1353.03*4</f>
        <v>5412.12</v>
      </c>
      <c r="L128" s="35"/>
      <c r="M128" s="190">
        <v>6986.49</v>
      </c>
      <c r="N128" s="174"/>
      <c r="O128" s="39"/>
      <c r="P128" s="234">
        <v>5500</v>
      </c>
      <c r="Q128" s="40"/>
      <c r="R128" s="80"/>
    </row>
    <row r="129" spans="1:18" s="13" customFormat="1" x14ac:dyDescent="0.25">
      <c r="A129" s="143" t="s">
        <v>209</v>
      </c>
      <c r="B129" s="142" t="s">
        <v>210</v>
      </c>
      <c r="C129" s="157"/>
      <c r="D129" s="35"/>
      <c r="E129" s="190"/>
      <c r="F129" s="174"/>
      <c r="G129" s="157">
        <v>1500</v>
      </c>
      <c r="H129" s="35"/>
      <c r="I129" s="190">
        <v>2675.73</v>
      </c>
      <c r="J129" s="174"/>
      <c r="K129" s="157">
        <v>500</v>
      </c>
      <c r="L129" s="35"/>
      <c r="M129" s="190">
        <v>1501.7</v>
      </c>
      <c r="N129" s="174"/>
      <c r="O129" s="39"/>
      <c r="P129" s="234">
        <v>500</v>
      </c>
      <c r="Q129" s="40"/>
    </row>
    <row r="130" spans="1:18" s="13" customFormat="1" x14ac:dyDescent="0.25">
      <c r="A130" s="245" t="s">
        <v>345</v>
      </c>
      <c r="B130" s="246" t="s">
        <v>346</v>
      </c>
      <c r="C130" s="244"/>
      <c r="D130" s="35"/>
      <c r="E130" s="190"/>
      <c r="F130" s="174"/>
      <c r="G130" s="244"/>
      <c r="H130" s="35"/>
      <c r="I130" s="190"/>
      <c r="J130" s="174"/>
      <c r="K130" s="244"/>
      <c r="L130" s="35"/>
      <c r="M130" s="190"/>
      <c r="N130" s="174"/>
      <c r="O130" s="39"/>
      <c r="P130" s="234">
        <v>1500</v>
      </c>
      <c r="Q130" s="40"/>
    </row>
    <row r="131" spans="1:18" x14ac:dyDescent="0.25">
      <c r="A131" s="47"/>
      <c r="B131" s="27"/>
      <c r="C131" s="35"/>
      <c r="D131" s="35"/>
      <c r="E131" s="175"/>
      <c r="F131" s="174"/>
      <c r="G131" s="35"/>
      <c r="H131" s="35"/>
      <c r="I131" s="175"/>
      <c r="J131" s="174"/>
      <c r="K131" s="35"/>
      <c r="L131" s="35"/>
      <c r="M131" s="175"/>
      <c r="N131" s="174"/>
      <c r="O131" s="39"/>
      <c r="P131" s="225"/>
      <c r="Q131" s="40"/>
    </row>
    <row r="132" spans="1:18" x14ac:dyDescent="0.25">
      <c r="A132" s="44" t="s">
        <v>157</v>
      </c>
      <c r="B132" s="25" t="s">
        <v>213</v>
      </c>
      <c r="C132" s="138"/>
      <c r="D132" s="35">
        <v>500</v>
      </c>
      <c r="E132" s="175"/>
      <c r="F132" s="174">
        <v>32.6</v>
      </c>
      <c r="G132" s="138"/>
      <c r="H132" s="35">
        <v>500</v>
      </c>
      <c r="I132" s="175"/>
      <c r="J132" s="174">
        <v>41.44</v>
      </c>
      <c r="K132" s="138"/>
      <c r="L132" s="35">
        <v>500</v>
      </c>
      <c r="M132" s="175"/>
      <c r="N132" s="174">
        <v>715.28</v>
      </c>
      <c r="O132" s="39"/>
      <c r="P132" s="225"/>
      <c r="Q132" s="40">
        <v>500</v>
      </c>
    </row>
    <row r="133" spans="1:18" s="13" customFormat="1" x14ac:dyDescent="0.25">
      <c r="A133" s="83"/>
      <c r="B133" s="161"/>
      <c r="C133" s="35"/>
      <c r="D133" s="35"/>
      <c r="E133" s="175"/>
      <c r="F133" s="174"/>
      <c r="G133" s="35"/>
      <c r="H133" s="35"/>
      <c r="I133" s="175"/>
      <c r="J133" s="174"/>
      <c r="K133" s="35"/>
      <c r="L133" s="35"/>
      <c r="M133" s="175"/>
      <c r="N133" s="174"/>
      <c r="O133" s="39"/>
      <c r="P133" s="225"/>
      <c r="Q133" s="40"/>
    </row>
    <row r="134" spans="1:18" x14ac:dyDescent="0.25">
      <c r="A134" s="44" t="s">
        <v>98</v>
      </c>
      <c r="B134" s="25" t="s">
        <v>83</v>
      </c>
      <c r="C134" s="138"/>
      <c r="D134" s="35">
        <v>0</v>
      </c>
      <c r="E134" s="175"/>
      <c r="F134" s="174">
        <v>0</v>
      </c>
      <c r="G134" s="138"/>
      <c r="H134" s="35">
        <v>0</v>
      </c>
      <c r="I134" s="175"/>
      <c r="J134" s="174">
        <v>0</v>
      </c>
      <c r="K134" s="138"/>
      <c r="L134" s="35">
        <v>0</v>
      </c>
      <c r="M134" s="175"/>
      <c r="N134" s="174">
        <v>0</v>
      </c>
      <c r="O134" s="39"/>
      <c r="P134" s="225"/>
      <c r="Q134" s="40">
        <v>0</v>
      </c>
    </row>
    <row r="135" spans="1:18" s="13" customFormat="1" x14ac:dyDescent="0.25">
      <c r="A135" s="83"/>
      <c r="B135" s="161"/>
      <c r="C135" s="35"/>
      <c r="D135" s="35"/>
      <c r="E135" s="175"/>
      <c r="F135" s="174"/>
      <c r="G135" s="35"/>
      <c r="H135" s="35"/>
      <c r="I135" s="175"/>
      <c r="J135" s="174"/>
      <c r="K135" s="35"/>
      <c r="L135" s="35"/>
      <c r="M135" s="175"/>
      <c r="N135" s="174"/>
      <c r="O135" s="39"/>
      <c r="P135" s="225"/>
      <c r="Q135" s="40"/>
    </row>
    <row r="136" spans="1:18" x14ac:dyDescent="0.25">
      <c r="A136" s="44" t="s">
        <v>105</v>
      </c>
      <c r="B136" s="25" t="s">
        <v>104</v>
      </c>
      <c r="C136" s="138"/>
      <c r="D136" s="35">
        <v>12000</v>
      </c>
      <c r="E136" s="175"/>
      <c r="F136" s="174">
        <v>6808.35</v>
      </c>
      <c r="G136" s="138"/>
      <c r="H136" s="35">
        <v>17000</v>
      </c>
      <c r="I136" s="175"/>
      <c r="J136" s="174">
        <v>1960.98</v>
      </c>
      <c r="K136" s="138"/>
      <c r="L136" s="35">
        <v>17000</v>
      </c>
      <c r="M136" s="175"/>
      <c r="N136" s="174">
        <v>663.68</v>
      </c>
      <c r="O136" s="39"/>
      <c r="P136" s="225"/>
      <c r="Q136" s="40">
        <v>7500</v>
      </c>
    </row>
    <row r="137" spans="1:18" x14ac:dyDescent="0.25">
      <c r="A137" s="47"/>
      <c r="B137" s="28"/>
      <c r="C137" s="35"/>
      <c r="D137" s="35"/>
      <c r="E137" s="175"/>
      <c r="F137" s="174"/>
      <c r="G137" s="35"/>
      <c r="H137" s="35"/>
      <c r="I137" s="175"/>
      <c r="J137" s="174"/>
      <c r="K137" s="35"/>
      <c r="L137" s="35"/>
      <c r="M137" s="175"/>
      <c r="N137" s="174"/>
      <c r="O137" s="39"/>
      <c r="P137" s="225"/>
      <c r="Q137" s="40"/>
    </row>
    <row r="138" spans="1:18" s="6" customFormat="1" ht="15.75" thickBot="1" x14ac:dyDescent="0.3">
      <c r="A138" s="69" t="s">
        <v>146</v>
      </c>
      <c r="B138" s="70" t="s">
        <v>57</v>
      </c>
      <c r="C138" s="71"/>
      <c r="D138" s="148">
        <f>SUM(D106:D137)</f>
        <v>105900</v>
      </c>
      <c r="E138" s="73"/>
      <c r="F138" s="76">
        <f>SUM(F106:F137)</f>
        <v>53160.159999999996</v>
      </c>
      <c r="G138" s="71"/>
      <c r="H138" s="148">
        <f>SUM(H106:H137)</f>
        <v>105700</v>
      </c>
      <c r="I138" s="73"/>
      <c r="J138" s="76">
        <f>SUM(J106:J137)</f>
        <v>41773.870000000017</v>
      </c>
      <c r="K138" s="71"/>
      <c r="L138" s="148">
        <f>SUM(L106:L137)</f>
        <v>108812.12</v>
      </c>
      <c r="M138" s="73"/>
      <c r="N138" s="76">
        <f>SUM(N106:N137)</f>
        <v>71489.449999999983</v>
      </c>
      <c r="O138" s="220"/>
      <c r="P138" s="73"/>
      <c r="Q138" s="76">
        <f>SUM(Q106:Q137)</f>
        <v>90400</v>
      </c>
      <c r="R138" s="7">
        <f>SUM(Q138+Q211)</f>
        <v>891826.15</v>
      </c>
    </row>
    <row r="139" spans="1:18" s="63" customFormat="1" ht="15.75" thickBot="1" x14ac:dyDescent="0.3">
      <c r="A139" s="58"/>
      <c r="B139" s="59"/>
      <c r="C139" s="61"/>
      <c r="D139" s="62"/>
      <c r="E139" s="60"/>
      <c r="F139" s="59"/>
      <c r="G139" s="61"/>
      <c r="H139" s="62"/>
      <c r="I139" s="60"/>
      <c r="J139" s="59"/>
      <c r="K139" s="61"/>
      <c r="L139" s="62"/>
      <c r="M139" s="60"/>
      <c r="N139" s="59"/>
      <c r="O139" s="28"/>
      <c r="P139" s="61"/>
      <c r="Q139" s="62"/>
    </row>
    <row r="140" spans="1:18" x14ac:dyDescent="0.25">
      <c r="A140" s="81" t="s">
        <v>10</v>
      </c>
      <c r="B140" s="82" t="s">
        <v>106</v>
      </c>
      <c r="C140" s="42"/>
      <c r="D140" s="140"/>
      <c r="E140" s="173"/>
      <c r="F140" s="182"/>
      <c r="G140" s="42"/>
      <c r="H140" s="140"/>
      <c r="I140" s="173"/>
      <c r="J140" s="182"/>
      <c r="K140" s="42"/>
      <c r="L140" s="140"/>
      <c r="M140" s="173"/>
      <c r="N140" s="182"/>
      <c r="O140" s="28"/>
      <c r="P140" s="226"/>
      <c r="Q140" s="43"/>
    </row>
    <row r="141" spans="1:18" x14ac:dyDescent="0.25">
      <c r="A141" s="24" t="s">
        <v>216</v>
      </c>
      <c r="B141" s="25" t="s">
        <v>81</v>
      </c>
      <c r="C141" s="138"/>
      <c r="D141" s="35">
        <f>SUM(C142:C144)</f>
        <v>394000</v>
      </c>
      <c r="E141" s="175"/>
      <c r="F141" s="191">
        <f>SUM(E142:E144)</f>
        <v>115975.2</v>
      </c>
      <c r="G141" s="138"/>
      <c r="H141" s="35">
        <f>SUM(G142:G144)</f>
        <v>305300</v>
      </c>
      <c r="I141" s="175"/>
      <c r="J141" s="191">
        <f>SUM(I142:I144)</f>
        <v>177668.53</v>
      </c>
      <c r="K141" s="138"/>
      <c r="L141" s="35">
        <f>SUM(K142:K144)</f>
        <v>313500</v>
      </c>
      <c r="M141" s="175"/>
      <c r="N141" s="191">
        <f>SUM(M142:M144)</f>
        <v>313226.03000000003</v>
      </c>
      <c r="O141" s="221"/>
      <c r="P141" s="225"/>
      <c r="Q141" s="40">
        <f>SUM(P142:P145)</f>
        <v>327060</v>
      </c>
    </row>
    <row r="142" spans="1:18" x14ac:dyDescent="0.25">
      <c r="A142" s="143" t="s">
        <v>78</v>
      </c>
      <c r="B142" s="142" t="s">
        <v>274</v>
      </c>
      <c r="C142" s="145">
        <v>286800</v>
      </c>
      <c r="D142" s="68"/>
      <c r="E142" s="192">
        <v>108673.94</v>
      </c>
      <c r="F142" s="172"/>
      <c r="G142" s="145">
        <f>G11</f>
        <v>220500</v>
      </c>
      <c r="H142" s="68"/>
      <c r="I142" s="192">
        <v>164489.24</v>
      </c>
      <c r="J142" s="172"/>
      <c r="K142" s="145">
        <f>K11</f>
        <v>224100</v>
      </c>
      <c r="L142" s="68"/>
      <c r="M142" s="192">
        <v>300534.78000000003</v>
      </c>
      <c r="N142" s="172"/>
      <c r="O142" s="28"/>
      <c r="P142" s="228">
        <f>P11</f>
        <v>225000</v>
      </c>
      <c r="Q142" s="36"/>
    </row>
    <row r="143" spans="1:18" x14ac:dyDescent="0.25">
      <c r="A143" s="141" t="s">
        <v>79</v>
      </c>
      <c r="B143" s="142" t="s">
        <v>275</v>
      </c>
      <c r="C143" s="145">
        <v>75200</v>
      </c>
      <c r="D143" s="68"/>
      <c r="E143" s="179">
        <v>5176.26</v>
      </c>
      <c r="F143" s="172"/>
      <c r="G143" s="145">
        <v>52800</v>
      </c>
      <c r="H143" s="68"/>
      <c r="I143" s="179">
        <v>9007.1200000000008</v>
      </c>
      <c r="J143" s="172"/>
      <c r="K143" s="145">
        <f>K15</f>
        <v>57399.999999999993</v>
      </c>
      <c r="L143" s="68"/>
      <c r="M143" s="179">
        <v>5857.22</v>
      </c>
      <c r="N143" s="172"/>
      <c r="O143" s="28"/>
      <c r="P143" s="228">
        <f>P15</f>
        <v>63960</v>
      </c>
      <c r="Q143" s="36"/>
    </row>
    <row r="144" spans="1:18" x14ac:dyDescent="0.25">
      <c r="A144" s="141" t="s">
        <v>82</v>
      </c>
      <c r="B144" s="142" t="s">
        <v>26</v>
      </c>
      <c r="C144" s="145">
        <v>32000</v>
      </c>
      <c r="D144" s="68"/>
      <c r="E144" s="179">
        <v>2125</v>
      </c>
      <c r="F144" s="172"/>
      <c r="G144" s="145">
        <v>32000</v>
      </c>
      <c r="H144" s="68"/>
      <c r="I144" s="179">
        <v>4172.17</v>
      </c>
      <c r="J144" s="172"/>
      <c r="K144" s="145">
        <v>32000</v>
      </c>
      <c r="L144" s="68"/>
      <c r="M144" s="179">
        <v>6834.03</v>
      </c>
      <c r="N144" s="172"/>
      <c r="O144" s="28"/>
      <c r="P144" s="228">
        <v>36000</v>
      </c>
      <c r="Q144" s="36"/>
    </row>
    <row r="145" spans="1:17" s="13" customFormat="1" x14ac:dyDescent="0.25">
      <c r="A145" s="143" t="s">
        <v>347</v>
      </c>
      <c r="B145" s="142" t="s">
        <v>348</v>
      </c>
      <c r="C145" s="79"/>
      <c r="D145" s="68"/>
      <c r="E145" s="179"/>
      <c r="F145" s="172"/>
      <c r="G145" s="79"/>
      <c r="H145" s="68"/>
      <c r="I145" s="179"/>
      <c r="J145" s="172"/>
      <c r="K145" s="79"/>
      <c r="L145" s="68"/>
      <c r="M145" s="179"/>
      <c r="N145" s="172"/>
      <c r="O145" s="28"/>
      <c r="P145" s="228">
        <v>2100</v>
      </c>
      <c r="Q145" s="36"/>
    </row>
    <row r="146" spans="1:17" x14ac:dyDescent="0.25">
      <c r="A146" s="47"/>
      <c r="B146" s="28"/>
      <c r="C146" s="35"/>
      <c r="D146" s="68"/>
      <c r="E146" s="175"/>
      <c r="F146" s="172"/>
      <c r="G146" s="35"/>
      <c r="H146" s="68"/>
      <c r="I146" s="175"/>
      <c r="J146" s="172"/>
      <c r="K146" s="35"/>
      <c r="L146" s="68"/>
      <c r="M146" s="175"/>
      <c r="N146" s="172"/>
      <c r="O146" s="28"/>
      <c r="P146" s="225"/>
      <c r="Q146" s="36"/>
    </row>
    <row r="147" spans="1:17" x14ac:dyDescent="0.25">
      <c r="A147" s="24" t="s">
        <v>215</v>
      </c>
      <c r="B147" s="25" t="s">
        <v>217</v>
      </c>
      <c r="C147" s="35"/>
      <c r="D147" s="35">
        <f>SUM(C148:C151)</f>
        <v>67000</v>
      </c>
      <c r="E147" s="175"/>
      <c r="F147" s="174">
        <f>SUM(E148:E151)</f>
        <v>7963.56</v>
      </c>
      <c r="G147" s="35"/>
      <c r="H147" s="35">
        <f>SUM(G148:G151)</f>
        <v>83500</v>
      </c>
      <c r="I147" s="175"/>
      <c r="J147" s="174">
        <f>SUM(I148:I151)</f>
        <v>16511.330000000002</v>
      </c>
      <c r="K147" s="35"/>
      <c r="L147" s="35">
        <f>SUM(K148:K151)</f>
        <v>198000</v>
      </c>
      <c r="M147" s="175"/>
      <c r="N147" s="174">
        <f>SUM(M148:M151)</f>
        <v>35557.270000000004</v>
      </c>
      <c r="O147" s="39"/>
      <c r="P147" s="225"/>
      <c r="Q147" s="40">
        <f>SUM(P148:P151)</f>
        <v>85000</v>
      </c>
    </row>
    <row r="148" spans="1:17" x14ac:dyDescent="0.25">
      <c r="A148" s="141" t="s">
        <v>107</v>
      </c>
      <c r="B148" s="142" t="s">
        <v>14</v>
      </c>
      <c r="C148" s="145">
        <v>50000</v>
      </c>
      <c r="D148" s="68"/>
      <c r="E148" s="179">
        <v>7963.56</v>
      </c>
      <c r="F148" s="172"/>
      <c r="G148" s="145">
        <v>60000</v>
      </c>
      <c r="H148" s="68"/>
      <c r="I148" s="179">
        <v>16511.330000000002</v>
      </c>
      <c r="J148" s="172"/>
      <c r="K148" s="145">
        <v>75000</v>
      </c>
      <c r="L148" s="68"/>
      <c r="M148" s="179">
        <f>11509.76+1242.49+96.68+38.87+6000</f>
        <v>18887.800000000003</v>
      </c>
      <c r="N148" s="172"/>
      <c r="O148" s="28"/>
      <c r="P148" s="228">
        <v>50000</v>
      </c>
      <c r="Q148" s="36"/>
    </row>
    <row r="149" spans="1:17" x14ac:dyDescent="0.25">
      <c r="A149" s="141" t="s">
        <v>108</v>
      </c>
      <c r="B149" s="142" t="s">
        <v>15</v>
      </c>
      <c r="C149" s="145">
        <v>5000</v>
      </c>
      <c r="D149" s="68"/>
      <c r="E149" s="179">
        <v>0</v>
      </c>
      <c r="F149" s="172"/>
      <c r="G149" s="145">
        <v>5000</v>
      </c>
      <c r="H149" s="68"/>
      <c r="I149" s="179">
        <v>0</v>
      </c>
      <c r="J149" s="172"/>
      <c r="K149" s="145">
        <v>5000</v>
      </c>
      <c r="L149" s="68"/>
      <c r="M149" s="179">
        <v>669.2</v>
      </c>
      <c r="N149" s="172"/>
      <c r="O149" s="28"/>
      <c r="P149" s="228">
        <v>2500</v>
      </c>
      <c r="Q149" s="36"/>
    </row>
    <row r="150" spans="1:17" x14ac:dyDescent="0.25">
      <c r="A150" s="141" t="s">
        <v>117</v>
      </c>
      <c r="B150" s="142" t="s">
        <v>155</v>
      </c>
      <c r="C150" s="145">
        <v>12000</v>
      </c>
      <c r="D150" s="68"/>
      <c r="E150" s="179">
        <v>0</v>
      </c>
      <c r="F150" s="172"/>
      <c r="G150" s="145">
        <v>18500</v>
      </c>
      <c r="H150" s="68"/>
      <c r="I150" s="179">
        <v>0</v>
      </c>
      <c r="J150" s="172"/>
      <c r="K150" s="145">
        <v>68000</v>
      </c>
      <c r="L150" s="68"/>
      <c r="M150" s="179">
        <f>13108.15+468</f>
        <v>13576.15</v>
      </c>
      <c r="N150" s="172"/>
      <c r="O150" s="28"/>
      <c r="P150" s="228">
        <v>30000</v>
      </c>
      <c r="Q150" s="36"/>
    </row>
    <row r="151" spans="1:17" s="13" customFormat="1" x14ac:dyDescent="0.25">
      <c r="A151" s="141" t="s">
        <v>247</v>
      </c>
      <c r="B151" s="158" t="s">
        <v>248</v>
      </c>
      <c r="C151" s="145"/>
      <c r="D151" s="68"/>
      <c r="E151" s="179"/>
      <c r="F151" s="172"/>
      <c r="G151" s="145"/>
      <c r="H151" s="68"/>
      <c r="I151" s="179"/>
      <c r="J151" s="172"/>
      <c r="K151" s="145">
        <v>50000</v>
      </c>
      <c r="L151" s="68"/>
      <c r="M151" s="179">
        <v>2424.12</v>
      </c>
      <c r="N151" s="172"/>
      <c r="O151" s="28"/>
      <c r="P151" s="228">
        <v>2500</v>
      </c>
      <c r="Q151" s="36"/>
    </row>
    <row r="152" spans="1:17" x14ac:dyDescent="0.25">
      <c r="A152" s="47"/>
      <c r="B152" s="28"/>
      <c r="C152" s="35"/>
      <c r="D152" s="68"/>
      <c r="E152" s="175"/>
      <c r="F152" s="172"/>
      <c r="G152" s="35"/>
      <c r="H152" s="68"/>
      <c r="I152" s="175"/>
      <c r="J152" s="172"/>
      <c r="K152" s="35"/>
      <c r="L152" s="68"/>
      <c r="M152" s="175"/>
      <c r="N152" s="172"/>
      <c r="O152" s="28"/>
      <c r="P152" s="225"/>
      <c r="Q152" s="36"/>
    </row>
    <row r="153" spans="1:17" x14ac:dyDescent="0.25">
      <c r="A153" s="24" t="s">
        <v>214</v>
      </c>
      <c r="B153" s="25" t="s">
        <v>16</v>
      </c>
      <c r="C153" s="35"/>
      <c r="D153" s="35">
        <f>SUM(C154:C157)</f>
        <v>78500</v>
      </c>
      <c r="E153" s="175"/>
      <c r="F153" s="174">
        <f>SUM(E154:E157)</f>
        <v>27871.16</v>
      </c>
      <c r="G153" s="35"/>
      <c r="H153" s="35">
        <f>SUM(G154:G157)</f>
        <v>78500</v>
      </c>
      <c r="I153" s="175"/>
      <c r="J153" s="174">
        <f>SUM(I154:I157)</f>
        <v>24188</v>
      </c>
      <c r="K153" s="35"/>
      <c r="L153" s="35">
        <f>SUM(K154:K157)</f>
        <v>61500</v>
      </c>
      <c r="M153" s="175"/>
      <c r="N153" s="174">
        <f>SUM(M154:M157)</f>
        <v>28807.25</v>
      </c>
      <c r="O153" s="39"/>
      <c r="P153" s="225"/>
      <c r="Q153" s="40">
        <f>SUM(P154:P157)</f>
        <v>63300</v>
      </c>
    </row>
    <row r="154" spans="1:17" s="13" customFormat="1" x14ac:dyDescent="0.25">
      <c r="A154" s="141" t="s">
        <v>109</v>
      </c>
      <c r="B154" s="142" t="s">
        <v>18</v>
      </c>
      <c r="C154" s="145">
        <v>50000</v>
      </c>
      <c r="D154" s="68"/>
      <c r="E154" s="179">
        <v>22607.16</v>
      </c>
      <c r="F154" s="172"/>
      <c r="G154" s="145">
        <v>50000</v>
      </c>
      <c r="H154" s="68"/>
      <c r="I154" s="179">
        <v>16523.599999999999</v>
      </c>
      <c r="J154" s="172"/>
      <c r="K154" s="145">
        <v>36500</v>
      </c>
      <c r="L154" s="68"/>
      <c r="M154" s="179">
        <v>22197.7</v>
      </c>
      <c r="N154" s="172"/>
      <c r="O154" s="28"/>
      <c r="P154" s="228">
        <v>37000</v>
      </c>
      <c r="Q154" s="36"/>
    </row>
    <row r="155" spans="1:17" x14ac:dyDescent="0.25">
      <c r="A155" s="141" t="s">
        <v>110</v>
      </c>
      <c r="B155" s="142" t="s">
        <v>17</v>
      </c>
      <c r="C155" s="145">
        <v>13000</v>
      </c>
      <c r="D155" s="68"/>
      <c r="E155" s="179">
        <v>861</v>
      </c>
      <c r="F155" s="172"/>
      <c r="G155" s="145">
        <v>13000</v>
      </c>
      <c r="H155" s="68"/>
      <c r="I155" s="179">
        <v>1798.4</v>
      </c>
      <c r="J155" s="172"/>
      <c r="K155" s="145">
        <v>10000</v>
      </c>
      <c r="L155" s="68"/>
      <c r="M155" s="179">
        <v>394</v>
      </c>
      <c r="N155" s="172"/>
      <c r="O155" s="28"/>
      <c r="P155" s="228">
        <v>10800</v>
      </c>
      <c r="Q155" s="36"/>
    </row>
    <row r="156" spans="1:17" x14ac:dyDescent="0.25">
      <c r="A156" s="141" t="s">
        <v>111</v>
      </c>
      <c r="B156" s="142" t="s">
        <v>113</v>
      </c>
      <c r="C156" s="145">
        <v>10000</v>
      </c>
      <c r="D156" s="68"/>
      <c r="E156" s="179">
        <v>0</v>
      </c>
      <c r="F156" s="172"/>
      <c r="G156" s="145">
        <v>10000</v>
      </c>
      <c r="H156" s="68"/>
      <c r="I156" s="179">
        <v>3700</v>
      </c>
      <c r="J156" s="172"/>
      <c r="K156" s="145">
        <v>9500</v>
      </c>
      <c r="L156" s="68"/>
      <c r="M156" s="179">
        <v>2483.5500000000002</v>
      </c>
      <c r="N156" s="172"/>
      <c r="O156" s="28"/>
      <c r="P156" s="228">
        <v>10000</v>
      </c>
      <c r="Q156" s="36"/>
    </row>
    <row r="157" spans="1:17" x14ac:dyDescent="0.25">
      <c r="A157" s="141" t="s">
        <v>112</v>
      </c>
      <c r="B157" s="142" t="s">
        <v>73</v>
      </c>
      <c r="C157" s="145">
        <v>5500</v>
      </c>
      <c r="D157" s="68"/>
      <c r="E157" s="179">
        <v>4403</v>
      </c>
      <c r="F157" s="172"/>
      <c r="G157" s="145">
        <v>5500</v>
      </c>
      <c r="H157" s="68"/>
      <c r="I157" s="179">
        <v>2166</v>
      </c>
      <c r="J157" s="172"/>
      <c r="K157" s="145">
        <v>5500</v>
      </c>
      <c r="L157" s="68"/>
      <c r="M157" s="179">
        <v>3732</v>
      </c>
      <c r="N157" s="172"/>
      <c r="O157" s="28"/>
      <c r="P157" s="228">
        <v>5500</v>
      </c>
      <c r="Q157" s="36"/>
    </row>
    <row r="158" spans="1:17" x14ac:dyDescent="0.25">
      <c r="A158" s="47"/>
      <c r="B158" s="28"/>
      <c r="C158" s="35"/>
      <c r="D158" s="68"/>
      <c r="E158" s="179"/>
      <c r="F158" s="172"/>
      <c r="G158" s="35"/>
      <c r="H158" s="68"/>
      <c r="I158" s="179"/>
      <c r="J158" s="172"/>
      <c r="K158" s="35"/>
      <c r="L158" s="68"/>
      <c r="M158" s="179"/>
      <c r="N158" s="172"/>
      <c r="O158" s="28"/>
      <c r="P158" s="225"/>
      <c r="Q158" s="36"/>
    </row>
    <row r="159" spans="1:17" s="13" customFormat="1" x14ac:dyDescent="0.25">
      <c r="A159" s="24" t="s">
        <v>218</v>
      </c>
      <c r="B159" s="25" t="s">
        <v>219</v>
      </c>
      <c r="C159" s="35"/>
      <c r="D159" s="35">
        <f>SUM(C160)</f>
        <v>25000</v>
      </c>
      <c r="E159" s="175"/>
      <c r="F159" s="174">
        <f>SUM(E160)</f>
        <v>24950.2</v>
      </c>
      <c r="G159" s="35"/>
      <c r="H159" s="35">
        <f>SUM(G160)</f>
        <v>25000</v>
      </c>
      <c r="I159" s="175"/>
      <c r="J159" s="174">
        <f>SUM(I160)</f>
        <v>25493.8</v>
      </c>
      <c r="K159" s="35"/>
      <c r="L159" s="35">
        <f>SUM(K160)</f>
        <v>25000</v>
      </c>
      <c r="M159" s="175"/>
      <c r="N159" s="174">
        <f>SUM(M160)</f>
        <v>14539.4</v>
      </c>
      <c r="O159" s="39"/>
      <c r="P159" s="225"/>
      <c r="Q159" s="40">
        <f>SUM(P160)</f>
        <v>2000</v>
      </c>
    </row>
    <row r="160" spans="1:17" x14ac:dyDescent="0.25">
      <c r="A160" s="143" t="s">
        <v>156</v>
      </c>
      <c r="B160" s="142" t="s">
        <v>229</v>
      </c>
      <c r="C160" s="145">
        <v>25000</v>
      </c>
      <c r="D160" s="68"/>
      <c r="E160" s="179">
        <v>24950.2</v>
      </c>
      <c r="F160" s="172"/>
      <c r="G160" s="145">
        <v>25000</v>
      </c>
      <c r="H160" s="68"/>
      <c r="I160" s="179">
        <v>25493.8</v>
      </c>
      <c r="J160" s="172"/>
      <c r="K160" s="145">
        <v>25000</v>
      </c>
      <c r="L160" s="68"/>
      <c r="M160" s="179">
        <v>14539.4</v>
      </c>
      <c r="N160" s="172"/>
      <c r="O160" s="28"/>
      <c r="P160" s="228">
        <v>2000</v>
      </c>
      <c r="Q160" s="36"/>
    </row>
    <row r="161" spans="1:18" s="13" customFormat="1" x14ac:dyDescent="0.25">
      <c r="A161" s="47"/>
      <c r="B161" s="28"/>
      <c r="C161" s="35"/>
      <c r="D161" s="68"/>
      <c r="E161" s="175"/>
      <c r="F161" s="172"/>
      <c r="G161" s="35"/>
      <c r="H161" s="68"/>
      <c r="I161" s="175"/>
      <c r="J161" s="172"/>
      <c r="K161" s="35"/>
      <c r="L161" s="68"/>
      <c r="M161" s="175"/>
      <c r="N161" s="172"/>
      <c r="O161" s="28"/>
      <c r="P161" s="225"/>
      <c r="Q161" s="36"/>
    </row>
    <row r="162" spans="1:18" s="13" customFormat="1" x14ac:dyDescent="0.25">
      <c r="A162" s="24" t="s">
        <v>220</v>
      </c>
      <c r="B162" s="25" t="s">
        <v>184</v>
      </c>
      <c r="C162" s="35"/>
      <c r="D162" s="35">
        <f>SUM(C163)</f>
        <v>15000</v>
      </c>
      <c r="E162" s="175"/>
      <c r="F162" s="174">
        <f>SUM(E163)</f>
        <v>0</v>
      </c>
      <c r="G162" s="35"/>
      <c r="H162" s="35">
        <f>SUM(G163)</f>
        <v>47909</v>
      </c>
      <c r="I162" s="175"/>
      <c r="J162" s="174">
        <f>SUM(I163)</f>
        <v>27712.61</v>
      </c>
      <c r="K162" s="35"/>
      <c r="L162" s="35">
        <f>SUM(K163)</f>
        <v>50000</v>
      </c>
      <c r="M162" s="175"/>
      <c r="N162" s="174">
        <f>SUM(M163)</f>
        <v>33257.839999999997</v>
      </c>
      <c r="O162" s="39"/>
      <c r="P162" s="225"/>
      <c r="Q162" s="40">
        <f>SUM(P163)</f>
        <v>50000</v>
      </c>
    </row>
    <row r="163" spans="1:18" s="13" customFormat="1" x14ac:dyDescent="0.25">
      <c r="A163" s="143" t="s">
        <v>221</v>
      </c>
      <c r="B163" s="142" t="s">
        <v>235</v>
      </c>
      <c r="C163" s="145">
        <v>15000</v>
      </c>
      <c r="D163" s="156"/>
      <c r="E163" s="179">
        <v>0</v>
      </c>
      <c r="F163" s="172"/>
      <c r="G163" s="145">
        <v>47909</v>
      </c>
      <c r="H163" s="156"/>
      <c r="I163" s="179">
        <v>27712.61</v>
      </c>
      <c r="J163" s="172"/>
      <c r="K163" s="145">
        <v>50000</v>
      </c>
      <c r="L163" s="156"/>
      <c r="M163" s="179">
        <f>33019.84+238</f>
        <v>33257.839999999997</v>
      </c>
      <c r="N163" s="172"/>
      <c r="O163" s="28"/>
      <c r="P163" s="228">
        <v>50000</v>
      </c>
      <c r="Q163" s="137"/>
    </row>
    <row r="164" spans="1:18" x14ac:dyDescent="0.25">
      <c r="A164" s="47"/>
      <c r="B164" s="28"/>
      <c r="C164" s="35"/>
      <c r="D164" s="68"/>
      <c r="E164" s="175"/>
      <c r="F164" s="172"/>
      <c r="G164" s="35"/>
      <c r="H164" s="68"/>
      <c r="I164" s="175"/>
      <c r="J164" s="172"/>
      <c r="K164" s="35"/>
      <c r="L164" s="68"/>
      <c r="M164" s="175"/>
      <c r="N164" s="172"/>
      <c r="O164" s="28"/>
      <c r="P164" s="225"/>
      <c r="Q164" s="36"/>
    </row>
    <row r="165" spans="1:18" s="6" customFormat="1" ht="15.75" thickBot="1" x14ac:dyDescent="0.3">
      <c r="A165" s="69" t="s">
        <v>149</v>
      </c>
      <c r="B165" s="70" t="s">
        <v>106</v>
      </c>
      <c r="C165" s="71"/>
      <c r="D165" s="148">
        <f>SUM(D140:D164)</f>
        <v>579500</v>
      </c>
      <c r="E165" s="73"/>
      <c r="F165" s="76">
        <f>SUM(F140:F164)</f>
        <v>176760.12</v>
      </c>
      <c r="G165" s="71"/>
      <c r="H165" s="148">
        <f>SUM(H140:H164)</f>
        <v>540209</v>
      </c>
      <c r="I165" s="73"/>
      <c r="J165" s="76">
        <f>SUM(J140:J164)</f>
        <v>271574.26999999996</v>
      </c>
      <c r="K165" s="71"/>
      <c r="L165" s="148">
        <f>SUM(L140:L164)</f>
        <v>648000</v>
      </c>
      <c r="M165" s="73"/>
      <c r="N165" s="76">
        <f>SUM(N140:N164)</f>
        <v>425387.79000000004</v>
      </c>
      <c r="O165" s="220"/>
      <c r="P165" s="73"/>
      <c r="Q165" s="76">
        <f>SUM(Q140:Q164)</f>
        <v>527360</v>
      </c>
      <c r="R165" s="7"/>
    </row>
    <row r="166" spans="1:18" s="63" customFormat="1" ht="15.75" thickBot="1" x14ac:dyDescent="0.3">
      <c r="A166" s="58"/>
      <c r="B166" s="59"/>
      <c r="C166" s="61"/>
      <c r="D166" s="62"/>
      <c r="E166" s="61"/>
      <c r="F166" s="62"/>
      <c r="G166" s="61"/>
      <c r="H166" s="62"/>
      <c r="I166" s="61"/>
      <c r="J166" s="62"/>
      <c r="K166" s="61"/>
      <c r="L166" s="62"/>
      <c r="M166" s="61"/>
      <c r="N166" s="62"/>
      <c r="O166" s="28"/>
      <c r="P166" s="61"/>
      <c r="Q166" s="62"/>
    </row>
    <row r="167" spans="1:18" x14ac:dyDescent="0.25">
      <c r="A167" s="81" t="s">
        <v>11</v>
      </c>
      <c r="B167" s="82" t="s">
        <v>56</v>
      </c>
      <c r="C167" s="42"/>
      <c r="D167" s="35"/>
      <c r="E167" s="173"/>
      <c r="F167" s="174"/>
      <c r="G167" s="42"/>
      <c r="H167" s="35"/>
      <c r="I167" s="173"/>
      <c r="J167" s="174"/>
      <c r="K167" s="42"/>
      <c r="L167" s="35"/>
      <c r="M167" s="173"/>
      <c r="N167" s="174"/>
      <c r="O167" s="39"/>
      <c r="P167" s="226"/>
      <c r="Q167" s="231"/>
    </row>
    <row r="168" spans="1:18" x14ac:dyDescent="0.25">
      <c r="A168" s="44" t="s">
        <v>91</v>
      </c>
      <c r="B168" s="25" t="s">
        <v>122</v>
      </c>
      <c r="C168" s="138"/>
      <c r="D168" s="35">
        <v>3000</v>
      </c>
      <c r="E168" s="175"/>
      <c r="F168" s="174">
        <v>648.79</v>
      </c>
      <c r="G168" s="138"/>
      <c r="H168" s="35">
        <v>4000</v>
      </c>
      <c r="I168" s="175"/>
      <c r="J168" s="174">
        <v>0</v>
      </c>
      <c r="K168" s="138"/>
      <c r="L168" s="35">
        <v>4000</v>
      </c>
      <c r="M168" s="175"/>
      <c r="N168" s="174">
        <v>351.8</v>
      </c>
      <c r="O168" s="39"/>
      <c r="P168" s="225"/>
      <c r="Q168" s="40">
        <v>5000</v>
      </c>
    </row>
    <row r="169" spans="1:18" s="13" customFormat="1" x14ac:dyDescent="0.25">
      <c r="A169" s="83"/>
      <c r="B169" s="161"/>
      <c r="C169" s="35"/>
      <c r="D169" s="35"/>
      <c r="E169" s="175"/>
      <c r="F169" s="174"/>
      <c r="G169" s="35"/>
      <c r="H169" s="35"/>
      <c r="I169" s="175"/>
      <c r="J169" s="174"/>
      <c r="K169" s="35"/>
      <c r="L169" s="35"/>
      <c r="M169" s="175"/>
      <c r="N169" s="174"/>
      <c r="O169" s="39"/>
      <c r="P169" s="225"/>
      <c r="Q169" s="40"/>
    </row>
    <row r="170" spans="1:18" x14ac:dyDescent="0.25">
      <c r="A170" s="44" t="s">
        <v>118</v>
      </c>
      <c r="B170" s="25" t="s">
        <v>128</v>
      </c>
      <c r="C170" s="138"/>
      <c r="D170" s="35">
        <v>1000</v>
      </c>
      <c r="E170" s="175"/>
      <c r="F170" s="174">
        <v>0</v>
      </c>
      <c r="G170" s="138"/>
      <c r="H170" s="35">
        <v>1000</v>
      </c>
      <c r="I170" s="175"/>
      <c r="J170" s="174">
        <v>262.33999999999997</v>
      </c>
      <c r="K170" s="138"/>
      <c r="L170" s="35">
        <v>900</v>
      </c>
      <c r="M170" s="175"/>
      <c r="N170" s="174">
        <v>6.99</v>
      </c>
      <c r="O170" s="39"/>
      <c r="P170" s="225"/>
      <c r="Q170" s="40">
        <v>1000</v>
      </c>
    </row>
    <row r="171" spans="1:18" x14ac:dyDescent="0.25">
      <c r="A171" s="44" t="s">
        <v>119</v>
      </c>
      <c r="B171" s="25" t="s">
        <v>222</v>
      </c>
      <c r="C171" s="138"/>
      <c r="D171" s="35">
        <v>2000</v>
      </c>
      <c r="E171" s="175"/>
      <c r="F171" s="174">
        <v>0</v>
      </c>
      <c r="G171" s="138"/>
      <c r="H171" s="35">
        <v>2000</v>
      </c>
      <c r="I171" s="175"/>
      <c r="J171" s="174">
        <v>102</v>
      </c>
      <c r="K171" s="138"/>
      <c r="L171" s="35">
        <v>2000</v>
      </c>
      <c r="M171" s="175"/>
      <c r="N171" s="174">
        <v>0</v>
      </c>
      <c r="O171" s="39"/>
      <c r="P171" s="225"/>
      <c r="Q171" s="40">
        <v>1000</v>
      </c>
    </row>
    <row r="172" spans="1:18" s="13" customFormat="1" x14ac:dyDescent="0.25">
      <c r="A172" s="83"/>
      <c r="B172" s="161"/>
      <c r="C172" s="35"/>
      <c r="D172" s="35"/>
      <c r="E172" s="175"/>
      <c r="F172" s="174"/>
      <c r="G172" s="35"/>
      <c r="H172" s="35"/>
      <c r="I172" s="175"/>
      <c r="J172" s="174"/>
      <c r="K172" s="35"/>
      <c r="L172" s="35"/>
      <c r="M172" s="175"/>
      <c r="N172" s="174"/>
      <c r="O172" s="39"/>
      <c r="P172" s="225"/>
      <c r="Q172" s="40"/>
    </row>
    <row r="173" spans="1:18" s="13" customFormat="1" x14ac:dyDescent="0.25">
      <c r="A173" s="44" t="s">
        <v>223</v>
      </c>
      <c r="B173" s="25" t="s">
        <v>224</v>
      </c>
      <c r="C173" s="138"/>
      <c r="D173" s="35">
        <v>0</v>
      </c>
      <c r="E173" s="175"/>
      <c r="F173" s="174">
        <v>0</v>
      </c>
      <c r="G173" s="138"/>
      <c r="H173" s="35">
        <v>0</v>
      </c>
      <c r="I173" s="175"/>
      <c r="J173" s="174">
        <v>0</v>
      </c>
      <c r="K173" s="138"/>
      <c r="L173" s="35">
        <v>0</v>
      </c>
      <c r="M173" s="175"/>
      <c r="N173" s="174">
        <v>0</v>
      </c>
      <c r="O173" s="39"/>
      <c r="P173" s="225"/>
      <c r="Q173" s="40">
        <v>0</v>
      </c>
    </row>
    <row r="174" spans="1:18" s="13" customFormat="1" x14ac:dyDescent="0.25">
      <c r="A174" s="83"/>
      <c r="B174" s="161"/>
      <c r="C174" s="35"/>
      <c r="D174" s="35"/>
      <c r="E174" s="175"/>
      <c r="F174" s="174"/>
      <c r="G174" s="35"/>
      <c r="H174" s="35"/>
      <c r="I174" s="175"/>
      <c r="J174" s="174"/>
      <c r="K174" s="35"/>
      <c r="L174" s="35"/>
      <c r="M174" s="175"/>
      <c r="N174" s="174"/>
      <c r="O174" s="39"/>
      <c r="P174" s="225"/>
      <c r="Q174" s="40"/>
    </row>
    <row r="175" spans="1:18" x14ac:dyDescent="0.25">
      <c r="A175" s="44" t="s">
        <v>120</v>
      </c>
      <c r="B175" s="25" t="s">
        <v>225</v>
      </c>
      <c r="C175" s="138"/>
      <c r="D175" s="35">
        <v>5000</v>
      </c>
      <c r="E175" s="175"/>
      <c r="F175" s="174">
        <v>77266</v>
      </c>
      <c r="G175" s="138"/>
      <c r="H175" s="35">
        <v>20000</v>
      </c>
      <c r="I175" s="175"/>
      <c r="J175" s="174">
        <v>0</v>
      </c>
      <c r="K175" s="138"/>
      <c r="L175" s="35">
        <v>18000</v>
      </c>
      <c r="M175" s="175"/>
      <c r="N175" s="174">
        <v>200</v>
      </c>
      <c r="O175" s="39"/>
      <c r="P175" s="225"/>
      <c r="Q175" s="40">
        <v>12300</v>
      </c>
    </row>
    <row r="176" spans="1:18" s="13" customFormat="1" x14ac:dyDescent="0.25">
      <c r="A176" s="83"/>
      <c r="B176" s="161"/>
      <c r="C176" s="35"/>
      <c r="D176" s="35"/>
      <c r="E176" s="175"/>
      <c r="F176" s="174"/>
      <c r="G176" s="35"/>
      <c r="H176" s="35"/>
      <c r="I176" s="175"/>
      <c r="J176" s="174"/>
      <c r="K176" s="35"/>
      <c r="L176" s="35"/>
      <c r="M176" s="175"/>
      <c r="N176" s="174"/>
      <c r="O176" s="39"/>
      <c r="P176" s="225"/>
      <c r="Q176" s="40"/>
    </row>
    <row r="177" spans="1:18" x14ac:dyDescent="0.25">
      <c r="A177" s="44" t="s">
        <v>121</v>
      </c>
      <c r="B177" s="25" t="s">
        <v>63</v>
      </c>
      <c r="C177" s="138"/>
      <c r="D177" s="35">
        <v>0</v>
      </c>
      <c r="E177" s="175"/>
      <c r="F177" s="174">
        <v>0</v>
      </c>
      <c r="G177" s="138"/>
      <c r="H177" s="35"/>
      <c r="I177" s="175"/>
      <c r="J177" s="174">
        <v>1106.3900000000001</v>
      </c>
      <c r="K177" s="138"/>
      <c r="L177" s="35">
        <v>2100</v>
      </c>
      <c r="M177" s="175"/>
      <c r="N177" s="174">
        <f>3262.65+269.81+99.66</f>
        <v>3632.12</v>
      </c>
      <c r="O177" s="39"/>
      <c r="P177" s="225"/>
      <c r="Q177" s="40">
        <v>5000</v>
      </c>
    </row>
    <row r="178" spans="1:18" s="13" customFormat="1" x14ac:dyDescent="0.25">
      <c r="A178" s="166"/>
      <c r="B178" s="161"/>
      <c r="C178" s="35"/>
      <c r="D178" s="35"/>
      <c r="E178" s="175"/>
      <c r="F178" s="174"/>
      <c r="G178" s="35"/>
      <c r="H178" s="35"/>
      <c r="I178" s="175"/>
      <c r="J178" s="174"/>
      <c r="K178" s="35"/>
      <c r="L178" s="35"/>
      <c r="M178" s="175"/>
      <c r="N178" s="174"/>
      <c r="O178" s="39"/>
      <c r="P178" s="225"/>
      <c r="Q178" s="40"/>
    </row>
    <row r="179" spans="1:18" s="13" customFormat="1" x14ac:dyDescent="0.25">
      <c r="A179" s="162" t="s">
        <v>236</v>
      </c>
      <c r="B179" s="25" t="s">
        <v>239</v>
      </c>
      <c r="C179" s="138"/>
      <c r="D179" s="35">
        <v>0</v>
      </c>
      <c r="E179" s="175"/>
      <c r="F179" s="174">
        <v>0</v>
      </c>
      <c r="G179" s="138"/>
      <c r="H179" s="35">
        <v>0</v>
      </c>
      <c r="I179" s="175"/>
      <c r="J179" s="174">
        <v>0</v>
      </c>
      <c r="K179" s="138"/>
      <c r="L179" s="35">
        <v>0</v>
      </c>
      <c r="M179" s="175"/>
      <c r="N179" s="174">
        <v>0</v>
      </c>
      <c r="O179" s="39"/>
      <c r="P179" s="225"/>
      <c r="Q179" s="40">
        <v>4000</v>
      </c>
    </row>
    <row r="180" spans="1:18" s="13" customFormat="1" x14ac:dyDescent="0.25">
      <c r="A180" s="166"/>
      <c r="B180" s="161"/>
      <c r="C180" s="35"/>
      <c r="D180" s="35"/>
      <c r="E180" s="175"/>
      <c r="F180" s="174"/>
      <c r="G180" s="35"/>
      <c r="H180" s="35"/>
      <c r="I180" s="175"/>
      <c r="J180" s="174"/>
      <c r="K180" s="35"/>
      <c r="L180" s="35"/>
      <c r="M180" s="175"/>
      <c r="N180" s="174"/>
      <c r="O180" s="39"/>
      <c r="P180" s="225"/>
      <c r="Q180" s="40"/>
    </row>
    <row r="181" spans="1:18" x14ac:dyDescent="0.25">
      <c r="A181" s="24" t="s">
        <v>226</v>
      </c>
      <c r="B181" s="25" t="s">
        <v>230</v>
      </c>
      <c r="C181" s="138"/>
      <c r="D181" s="35">
        <v>0</v>
      </c>
      <c r="E181" s="175"/>
      <c r="F181" s="174">
        <v>0</v>
      </c>
      <c r="G181" s="138"/>
      <c r="H181" s="35">
        <v>58436</v>
      </c>
      <c r="I181" s="175"/>
      <c r="J181" s="174">
        <v>10171</v>
      </c>
      <c r="K181" s="138"/>
      <c r="L181" s="35">
        <v>60000</v>
      </c>
      <c r="M181" s="175"/>
      <c r="N181" s="174">
        <f>158.85</f>
        <v>158.85</v>
      </c>
      <c r="O181" s="39"/>
      <c r="P181" s="225"/>
      <c r="Q181" s="40">
        <v>0</v>
      </c>
      <c r="R181" s="13"/>
    </row>
    <row r="182" spans="1:18" s="13" customFormat="1" x14ac:dyDescent="0.25">
      <c r="A182" s="24"/>
      <c r="B182" s="25" t="s">
        <v>231</v>
      </c>
      <c r="C182" s="138"/>
      <c r="D182" s="35">
        <v>0</v>
      </c>
      <c r="E182" s="175"/>
      <c r="F182" s="174">
        <v>0</v>
      </c>
      <c r="G182" s="138"/>
      <c r="H182" s="35">
        <v>100000</v>
      </c>
      <c r="I182" s="175"/>
      <c r="J182" s="174">
        <v>80000</v>
      </c>
      <c r="K182" s="138"/>
      <c r="L182" s="35">
        <v>100000</v>
      </c>
      <c r="M182" s="175"/>
      <c r="N182" s="174">
        <v>0</v>
      </c>
      <c r="O182" s="39"/>
      <c r="P182" s="225"/>
      <c r="Q182" s="40">
        <v>0</v>
      </c>
    </row>
    <row r="183" spans="1:18" s="13" customFormat="1" x14ac:dyDescent="0.25">
      <c r="A183" s="24"/>
      <c r="B183" s="25"/>
      <c r="C183" s="138"/>
      <c r="D183" s="35"/>
      <c r="E183" s="175"/>
      <c r="F183" s="174"/>
      <c r="G183" s="138"/>
      <c r="H183" s="35"/>
      <c r="I183" s="175"/>
      <c r="J183" s="174"/>
      <c r="K183" s="138"/>
      <c r="L183" s="35"/>
      <c r="M183" s="175"/>
      <c r="N183" s="174"/>
      <c r="O183" s="39"/>
      <c r="P183" s="225"/>
      <c r="Q183" s="40"/>
    </row>
    <row r="184" spans="1:18" s="13" customFormat="1" x14ac:dyDescent="0.25">
      <c r="A184" s="24">
        <v>795</v>
      </c>
      <c r="B184" s="25" t="s">
        <v>314</v>
      </c>
      <c r="C184" s="138"/>
      <c r="D184" s="35">
        <v>0</v>
      </c>
      <c r="E184" s="175"/>
      <c r="F184" s="174">
        <v>0</v>
      </c>
      <c r="G184" s="138"/>
      <c r="H184" s="35">
        <v>0</v>
      </c>
      <c r="I184" s="175"/>
      <c r="J184" s="174"/>
      <c r="K184" s="138"/>
      <c r="L184" s="35">
        <v>0</v>
      </c>
      <c r="M184" s="175"/>
      <c r="N184" s="174">
        <v>69.86</v>
      </c>
      <c r="O184" s="39"/>
      <c r="P184" s="225"/>
      <c r="Q184" s="40">
        <v>0</v>
      </c>
    </row>
    <row r="185" spans="1:18" s="13" customFormat="1" x14ac:dyDescent="0.25">
      <c r="A185" s="29"/>
      <c r="B185" s="28"/>
      <c r="C185" s="35"/>
      <c r="D185" s="35"/>
      <c r="E185" s="175"/>
      <c r="F185" s="174"/>
      <c r="G185" s="35"/>
      <c r="H185" s="35"/>
      <c r="I185" s="175"/>
      <c r="J185" s="174"/>
      <c r="K185" s="35"/>
      <c r="L185" s="35"/>
      <c r="M185" s="175"/>
      <c r="N185" s="174"/>
      <c r="O185" s="39"/>
      <c r="P185" s="225"/>
      <c r="Q185" s="40"/>
    </row>
    <row r="186" spans="1:18" s="13" customFormat="1" x14ac:dyDescent="0.25">
      <c r="A186" s="29"/>
      <c r="B186" s="28" t="s">
        <v>319</v>
      </c>
      <c r="C186" s="35"/>
      <c r="D186" s="35"/>
      <c r="E186" s="175"/>
      <c r="F186" s="174"/>
      <c r="G186" s="35"/>
      <c r="H186" s="35"/>
      <c r="I186" s="175"/>
      <c r="J186" s="174"/>
      <c r="K186" s="35"/>
      <c r="L186" s="35"/>
      <c r="M186" s="175"/>
      <c r="N186" s="174"/>
      <c r="O186" s="39"/>
      <c r="P186" s="225"/>
      <c r="Q186" s="40"/>
    </row>
    <row r="187" spans="1:18" s="13" customFormat="1" x14ac:dyDescent="0.25">
      <c r="A187" s="29"/>
      <c r="B187" s="28"/>
      <c r="C187" s="35"/>
      <c r="D187" s="35"/>
      <c r="E187" s="175"/>
      <c r="F187" s="174"/>
      <c r="G187" s="35"/>
      <c r="H187" s="35"/>
      <c r="I187" s="175"/>
      <c r="J187" s="174"/>
      <c r="K187" s="35"/>
      <c r="L187" s="35"/>
      <c r="M187" s="175"/>
      <c r="N187" s="174"/>
      <c r="O187" s="39"/>
      <c r="P187" s="225"/>
      <c r="Q187" s="40"/>
    </row>
    <row r="188" spans="1:18" s="6" customFormat="1" ht="15.75" thickBot="1" x14ac:dyDescent="0.3">
      <c r="A188" s="69" t="s">
        <v>147</v>
      </c>
      <c r="B188" s="70" t="s">
        <v>56</v>
      </c>
      <c r="C188" s="71"/>
      <c r="D188" s="71">
        <f>SUM(D168:D184)</f>
        <v>11000</v>
      </c>
      <c r="E188" s="73"/>
      <c r="F188" s="72">
        <f>SUM(F168:F187)</f>
        <v>77914.789999999994</v>
      </c>
      <c r="G188" s="71"/>
      <c r="H188" s="71">
        <f>SUM(H168:H184)</f>
        <v>185436</v>
      </c>
      <c r="I188" s="73"/>
      <c r="J188" s="72">
        <f>SUM(J168:J187)</f>
        <v>91641.73</v>
      </c>
      <c r="K188" s="71"/>
      <c r="L188" s="71">
        <f>SUM(L168:L184)</f>
        <v>187000</v>
      </c>
      <c r="M188" s="73"/>
      <c r="N188" s="72">
        <f>SUM(N168:N187)</f>
        <v>4419.62</v>
      </c>
      <c r="O188" s="219"/>
      <c r="P188" s="73"/>
      <c r="Q188" s="72">
        <f>SUM(Q168:Q184)</f>
        <v>28300</v>
      </c>
    </row>
    <row r="189" spans="1:18" s="63" customFormat="1" ht="15.75" thickBot="1" x14ac:dyDescent="0.3">
      <c r="A189" s="58"/>
      <c r="B189" s="59"/>
      <c r="C189" s="61"/>
      <c r="D189" s="62"/>
      <c r="E189" s="61"/>
      <c r="F189" s="62"/>
      <c r="G189" s="61"/>
      <c r="H189" s="62"/>
      <c r="I189" s="61"/>
      <c r="J189" s="62"/>
      <c r="K189" s="61"/>
      <c r="L189" s="62"/>
      <c r="M189" s="61"/>
      <c r="N189" s="62"/>
      <c r="O189" s="28"/>
      <c r="P189" s="61"/>
      <c r="Q189" s="62"/>
    </row>
    <row r="190" spans="1:18" x14ac:dyDescent="0.25">
      <c r="A190" s="81" t="s">
        <v>12</v>
      </c>
      <c r="B190" s="82" t="s">
        <v>232</v>
      </c>
      <c r="C190" s="42"/>
      <c r="D190" s="140"/>
      <c r="E190" s="173"/>
      <c r="F190" s="182"/>
      <c r="G190" s="42"/>
      <c r="H190" s="140"/>
      <c r="I190" s="173"/>
      <c r="J190" s="182"/>
      <c r="K190" s="42"/>
      <c r="L190" s="140"/>
      <c r="M190" s="173"/>
      <c r="N190" s="182"/>
      <c r="O190" s="28"/>
      <c r="P190" s="226"/>
      <c r="Q190" s="43"/>
    </row>
    <row r="191" spans="1:18" x14ac:dyDescent="0.25">
      <c r="A191" s="44" t="s">
        <v>158</v>
      </c>
      <c r="B191" s="25" t="s">
        <v>143</v>
      </c>
      <c r="C191" s="138">
        <v>39390</v>
      </c>
      <c r="D191" s="68"/>
      <c r="E191" s="175">
        <v>523382.38</v>
      </c>
      <c r="F191" s="172"/>
      <c r="G191" s="138">
        <v>39390</v>
      </c>
      <c r="H191" s="68"/>
      <c r="I191" s="175">
        <v>640574.43999999994</v>
      </c>
      <c r="J191" s="172"/>
      <c r="K191" s="138">
        <v>39390</v>
      </c>
      <c r="L191" s="68"/>
      <c r="M191" s="175">
        <f>1452608.88-M195-M197</f>
        <v>1375372.8099999998</v>
      </c>
      <c r="N191" s="172"/>
      <c r="O191" s="28"/>
      <c r="P191" s="225">
        <v>82350</v>
      </c>
      <c r="Q191" s="36"/>
    </row>
    <row r="192" spans="1:18" s="13" customFormat="1" x14ac:dyDescent="0.25">
      <c r="A192" s="83"/>
      <c r="B192" s="161"/>
      <c r="C192" s="35"/>
      <c r="D192" s="68"/>
      <c r="E192" s="175"/>
      <c r="F192" s="172"/>
      <c r="G192" s="35"/>
      <c r="H192" s="68"/>
      <c r="I192" s="175"/>
      <c r="J192" s="172"/>
      <c r="K192" s="35"/>
      <c r="L192" s="68"/>
      <c r="M192" s="175"/>
      <c r="N192" s="172"/>
      <c r="O192" s="28"/>
      <c r="P192" s="225"/>
      <c r="Q192" s="36"/>
    </row>
    <row r="193" spans="1:17" s="13" customFormat="1" x14ac:dyDescent="0.25">
      <c r="A193" s="24" t="s">
        <v>336</v>
      </c>
      <c r="B193" s="25" t="s">
        <v>349</v>
      </c>
      <c r="C193" s="35">
        <v>30000</v>
      </c>
      <c r="D193" s="68"/>
      <c r="E193" s="175">
        <v>30000</v>
      </c>
      <c r="F193" s="172"/>
      <c r="G193" s="35">
        <v>30000</v>
      </c>
      <c r="H193" s="68"/>
      <c r="I193" s="175">
        <v>30000</v>
      </c>
      <c r="J193" s="172"/>
      <c r="K193" s="35"/>
      <c r="L193" s="68"/>
      <c r="M193" s="175"/>
      <c r="N193" s="172"/>
      <c r="O193" s="28"/>
      <c r="P193" s="225">
        <v>47150</v>
      </c>
      <c r="Q193" s="36"/>
    </row>
    <row r="194" spans="1:17" s="13" customFormat="1" x14ac:dyDescent="0.25">
      <c r="A194" s="83"/>
      <c r="B194" s="161"/>
      <c r="C194" s="35"/>
      <c r="D194" s="68"/>
      <c r="E194" s="175"/>
      <c r="F194" s="172"/>
      <c r="G194" s="35"/>
      <c r="H194" s="68"/>
      <c r="I194" s="175"/>
      <c r="J194" s="172"/>
      <c r="K194" s="35"/>
      <c r="L194" s="68"/>
      <c r="M194" s="175"/>
      <c r="N194" s="172"/>
      <c r="O194" s="28"/>
      <c r="P194" s="225"/>
      <c r="Q194" s="36"/>
    </row>
    <row r="195" spans="1:17" s="13" customFormat="1" x14ac:dyDescent="0.25">
      <c r="A195" s="44"/>
      <c r="B195" s="25" t="s">
        <v>182</v>
      </c>
      <c r="C195" s="138">
        <v>28000</v>
      </c>
      <c r="D195" s="68"/>
      <c r="E195" s="175">
        <v>28000</v>
      </c>
      <c r="F195" s="172"/>
      <c r="G195" s="138">
        <v>28000</v>
      </c>
      <c r="H195" s="68"/>
      <c r="I195" s="175">
        <v>28000</v>
      </c>
      <c r="J195" s="172"/>
      <c r="K195" s="138"/>
      <c r="L195" s="68"/>
      <c r="M195" s="175">
        <v>28700</v>
      </c>
      <c r="N195" s="172"/>
      <c r="O195" s="28"/>
      <c r="P195" s="225">
        <v>31979.999999999996</v>
      </c>
      <c r="Q195" s="36"/>
    </row>
    <row r="196" spans="1:17" s="13" customFormat="1" x14ac:dyDescent="0.25">
      <c r="A196" s="44"/>
      <c r="B196" s="25"/>
      <c r="C196" s="35"/>
      <c r="D196" s="68"/>
      <c r="E196" s="175"/>
      <c r="F196" s="172"/>
      <c r="G196" s="35"/>
      <c r="H196" s="68"/>
      <c r="I196" s="175"/>
      <c r="J196" s="172"/>
      <c r="K196" s="35"/>
      <c r="L196" s="68"/>
      <c r="M196" s="175"/>
      <c r="N196" s="172"/>
      <c r="O196" s="28"/>
      <c r="P196" s="225"/>
      <c r="Q196" s="36"/>
    </row>
    <row r="197" spans="1:17" x14ac:dyDescent="0.25">
      <c r="A197" s="44" t="s">
        <v>337</v>
      </c>
      <c r="B197" s="12" t="s">
        <v>320</v>
      </c>
      <c r="C197" s="35">
        <v>30000</v>
      </c>
      <c r="D197" s="68"/>
      <c r="E197" s="175">
        <v>28436</v>
      </c>
      <c r="F197" s="172"/>
      <c r="G197" s="35">
        <v>0</v>
      </c>
      <c r="H197" s="68"/>
      <c r="I197" s="175">
        <v>17021.77</v>
      </c>
      <c r="J197" s="172"/>
      <c r="K197" s="35"/>
      <c r="L197" s="68"/>
      <c r="M197" s="175">
        <v>48536.07</v>
      </c>
      <c r="N197" s="172"/>
      <c r="O197" s="28"/>
      <c r="P197" s="225">
        <v>30000</v>
      </c>
      <c r="Q197" s="36"/>
    </row>
    <row r="198" spans="1:17" s="13" customFormat="1" x14ac:dyDescent="0.25">
      <c r="A198" s="47"/>
      <c r="B198" s="217" t="s">
        <v>342</v>
      </c>
      <c r="C198" s="35"/>
      <c r="D198" s="68"/>
      <c r="E198" s="175"/>
      <c r="F198" s="172"/>
      <c r="G198" s="35">
        <v>0</v>
      </c>
      <c r="H198" s="68"/>
      <c r="I198" s="175">
        <v>506555</v>
      </c>
      <c r="J198" s="172"/>
      <c r="K198" s="35"/>
      <c r="L198" s="68"/>
      <c r="M198" s="175"/>
      <c r="N198" s="172"/>
      <c r="O198" s="28"/>
      <c r="P198" s="225"/>
      <c r="Q198" s="36"/>
    </row>
    <row r="199" spans="1:17" x14ac:dyDescent="0.25">
      <c r="A199" s="47"/>
      <c r="B199" s="28"/>
      <c r="C199" s="35"/>
      <c r="D199" s="68"/>
      <c r="E199" s="175"/>
      <c r="F199" s="172"/>
      <c r="G199" s="35"/>
      <c r="H199" s="68"/>
      <c r="I199" s="175"/>
      <c r="J199" s="172"/>
      <c r="K199" s="35"/>
      <c r="L199" s="68"/>
      <c r="M199" s="175"/>
      <c r="N199" s="172"/>
      <c r="O199" s="28"/>
      <c r="P199" s="225"/>
      <c r="Q199" s="36"/>
    </row>
    <row r="200" spans="1:17" s="6" customFormat="1" ht="15.75" thickBot="1" x14ac:dyDescent="0.3">
      <c r="A200" s="69" t="s">
        <v>148</v>
      </c>
      <c r="B200" s="70" t="s">
        <v>351</v>
      </c>
      <c r="C200" s="71"/>
      <c r="D200" s="71">
        <f>SUM(C191:C197)</f>
        <v>127390</v>
      </c>
      <c r="E200" s="73"/>
      <c r="F200" s="72">
        <f>SUM(E191:E197)</f>
        <v>609818.38</v>
      </c>
      <c r="G200" s="71"/>
      <c r="H200" s="71">
        <f>G191+G195+G197</f>
        <v>67390</v>
      </c>
      <c r="I200" s="73"/>
      <c r="J200" s="72">
        <f>SUM(I191:I198)</f>
        <v>1222151.21</v>
      </c>
      <c r="K200" s="71"/>
      <c r="L200" s="71">
        <f>K191+K195+K197</f>
        <v>39390</v>
      </c>
      <c r="M200" s="73"/>
      <c r="N200" s="72">
        <f>SUM(M191:M197)</f>
        <v>1452608.88</v>
      </c>
      <c r="O200" s="219"/>
      <c r="P200" s="73"/>
      <c r="Q200" s="72">
        <f>SUM(P191:P197)</f>
        <v>191480</v>
      </c>
    </row>
    <row r="201" spans="1:17" s="63" customFormat="1" ht="15.75" thickBot="1" x14ac:dyDescent="0.3">
      <c r="A201" s="58"/>
      <c r="B201" s="59"/>
      <c r="C201" s="61"/>
      <c r="D201" s="62"/>
      <c r="E201" s="61"/>
      <c r="F201" s="62"/>
      <c r="G201" s="61"/>
      <c r="H201" s="62"/>
      <c r="I201" s="61"/>
      <c r="J201" s="62"/>
      <c r="K201" s="61"/>
      <c r="L201" s="62"/>
      <c r="M201" s="61"/>
      <c r="N201" s="62"/>
      <c r="O201" s="28"/>
      <c r="P201" s="61"/>
      <c r="Q201" s="62"/>
    </row>
    <row r="202" spans="1:17" x14ac:dyDescent="0.25">
      <c r="A202" s="81" t="s">
        <v>138</v>
      </c>
      <c r="B202" s="82" t="s">
        <v>244</v>
      </c>
      <c r="C202" s="42"/>
      <c r="D202" s="140"/>
      <c r="E202" s="173"/>
      <c r="F202" s="182"/>
      <c r="G202" s="42"/>
      <c r="H202" s="140"/>
      <c r="I202" s="173"/>
      <c r="J202" s="182"/>
      <c r="K202" s="42"/>
      <c r="L202" s="140"/>
      <c r="M202" s="173"/>
      <c r="N202" s="182"/>
      <c r="O202" s="28"/>
      <c r="P202" s="226"/>
      <c r="Q202" s="43"/>
    </row>
    <row r="203" spans="1:17" s="13" customFormat="1" x14ac:dyDescent="0.25">
      <c r="A203" s="44" t="s">
        <v>139</v>
      </c>
      <c r="B203" s="25" t="s">
        <v>21</v>
      </c>
      <c r="C203" s="138">
        <v>2482480</v>
      </c>
      <c r="D203" s="149"/>
      <c r="E203" s="175">
        <v>1985589.7</v>
      </c>
      <c r="F203" s="193"/>
      <c r="G203" s="138">
        <v>1941500</v>
      </c>
      <c r="H203" s="149"/>
      <c r="I203" s="175">
        <v>2026220</v>
      </c>
      <c r="J203" s="193"/>
      <c r="K203" s="138">
        <v>970750</v>
      </c>
      <c r="L203" s="149"/>
      <c r="M203" s="175">
        <f>1097578.85-2.55-734.7</f>
        <v>1096841.6000000001</v>
      </c>
      <c r="N203" s="193"/>
      <c r="O203" s="222"/>
      <c r="P203" s="225">
        <v>505396.15</v>
      </c>
      <c r="Q203" s="235"/>
    </row>
    <row r="204" spans="1:17" s="13" customFormat="1" x14ac:dyDescent="0.25">
      <c r="A204" s="44" t="s">
        <v>140</v>
      </c>
      <c r="B204" s="25" t="s">
        <v>23</v>
      </c>
      <c r="C204" s="138">
        <v>75460</v>
      </c>
      <c r="D204" s="149"/>
      <c r="E204" s="175">
        <v>135793.95000000001</v>
      </c>
      <c r="F204" s="193"/>
      <c r="G204" s="138">
        <v>137500</v>
      </c>
      <c r="H204" s="149"/>
      <c r="I204" s="175">
        <v>139249.79999999999</v>
      </c>
      <c r="J204" s="193"/>
      <c r="K204" s="138">
        <v>137500</v>
      </c>
      <c r="L204" s="149"/>
      <c r="M204" s="175">
        <f>68903.55-53.55</f>
        <v>68850</v>
      </c>
      <c r="N204" s="193"/>
      <c r="O204" s="222"/>
      <c r="P204" s="225">
        <v>150280</v>
      </c>
      <c r="Q204" s="235"/>
    </row>
    <row r="205" spans="1:17" ht="14.25" customHeight="1" x14ac:dyDescent="0.25">
      <c r="A205" s="44" t="s">
        <v>141</v>
      </c>
      <c r="B205" s="25" t="s">
        <v>187</v>
      </c>
      <c r="C205" s="35">
        <v>930</v>
      </c>
      <c r="D205" s="68"/>
      <c r="E205" s="175">
        <v>1056.3</v>
      </c>
      <c r="F205" s="172"/>
      <c r="G205" s="35">
        <v>950</v>
      </c>
      <c r="H205" s="68"/>
      <c r="I205" s="175">
        <v>1224.5</v>
      </c>
      <c r="J205" s="172"/>
      <c r="K205" s="35">
        <v>950</v>
      </c>
      <c r="L205" s="68"/>
      <c r="M205" s="175">
        <v>734.7</v>
      </c>
      <c r="N205" s="172"/>
      <c r="O205" s="28"/>
      <c r="P205" s="225">
        <v>0</v>
      </c>
      <c r="Q205" s="36"/>
    </row>
    <row r="206" spans="1:17" ht="14.25" customHeight="1" x14ac:dyDescent="0.25">
      <c r="A206" s="44" t="s">
        <v>142</v>
      </c>
      <c r="B206" s="25" t="s">
        <v>114</v>
      </c>
      <c r="C206" s="35">
        <v>5000</v>
      </c>
      <c r="D206" s="68"/>
      <c r="E206" s="175">
        <v>0</v>
      </c>
      <c r="F206" s="172"/>
      <c r="G206" s="35">
        <v>0</v>
      </c>
      <c r="H206" s="68"/>
      <c r="I206" s="175">
        <v>0</v>
      </c>
      <c r="J206" s="172"/>
      <c r="K206" s="35">
        <v>0</v>
      </c>
      <c r="L206" s="68"/>
      <c r="M206" s="175">
        <v>0</v>
      </c>
      <c r="N206" s="172"/>
      <c r="O206" s="28"/>
      <c r="P206" s="225">
        <v>0</v>
      </c>
      <c r="Q206" s="36"/>
    </row>
    <row r="207" spans="1:17" ht="14.25" customHeight="1" x14ac:dyDescent="0.25">
      <c r="A207" s="44" t="s">
        <v>159</v>
      </c>
      <c r="B207" s="25" t="s">
        <v>160</v>
      </c>
      <c r="C207" s="35">
        <v>2500</v>
      </c>
      <c r="D207" s="68"/>
      <c r="E207" s="175">
        <v>100</v>
      </c>
      <c r="F207" s="172"/>
      <c r="G207" s="35">
        <v>2300</v>
      </c>
      <c r="H207" s="68"/>
      <c r="I207" s="175">
        <v>360</v>
      </c>
      <c r="J207" s="172"/>
      <c r="K207" s="35">
        <v>2300</v>
      </c>
      <c r="L207" s="68"/>
      <c r="M207" s="175">
        <v>610</v>
      </c>
      <c r="N207" s="172"/>
      <c r="O207" s="28"/>
      <c r="P207" s="225">
        <v>1150</v>
      </c>
      <c r="Q207" s="36"/>
    </row>
    <row r="208" spans="1:17" x14ac:dyDescent="0.25">
      <c r="A208" s="44" t="s">
        <v>166</v>
      </c>
      <c r="B208" s="25" t="s">
        <v>186</v>
      </c>
      <c r="C208" s="35">
        <v>70</v>
      </c>
      <c r="D208" s="68"/>
      <c r="E208" s="175">
        <v>51.7</v>
      </c>
      <c r="F208" s="172"/>
      <c r="G208" s="35">
        <v>85</v>
      </c>
      <c r="H208" s="68"/>
      <c r="I208" s="175">
        <v>62.5</v>
      </c>
      <c r="J208" s="172"/>
      <c r="K208" s="35">
        <v>85</v>
      </c>
      <c r="L208" s="68"/>
      <c r="M208" s="175">
        <f>53.55+2.55</f>
        <v>56.099999999999994</v>
      </c>
      <c r="N208" s="172"/>
      <c r="O208" s="28"/>
      <c r="P208" s="225">
        <v>100</v>
      </c>
      <c r="Q208" s="36"/>
    </row>
    <row r="209" spans="1:17" s="13" customFormat="1" x14ac:dyDescent="0.25">
      <c r="A209" s="24" t="s">
        <v>324</v>
      </c>
      <c r="B209" s="25" t="s">
        <v>241</v>
      </c>
      <c r="C209" s="138"/>
      <c r="D209" s="68"/>
      <c r="E209" s="175"/>
      <c r="F209" s="172"/>
      <c r="G209" s="138"/>
      <c r="H209" s="68"/>
      <c r="I209" s="175"/>
      <c r="J209" s="172"/>
      <c r="K209" s="138">
        <f>28400*2*2.5</f>
        <v>142000</v>
      </c>
      <c r="L209" s="68"/>
      <c r="M209" s="175">
        <v>0</v>
      </c>
      <c r="N209" s="172"/>
      <c r="O209" s="28"/>
      <c r="P209" s="225">
        <v>144500</v>
      </c>
      <c r="Q209" s="36"/>
    </row>
    <row r="210" spans="1:17" x14ac:dyDescent="0.25">
      <c r="A210" s="47"/>
      <c r="B210" s="59"/>
      <c r="C210" s="35"/>
      <c r="D210" s="68"/>
      <c r="E210" s="175"/>
      <c r="F210" s="172"/>
      <c r="G210" s="35"/>
      <c r="H210" s="68"/>
      <c r="I210" s="175"/>
      <c r="J210" s="172"/>
      <c r="K210" s="35"/>
      <c r="L210" s="68"/>
      <c r="M210" s="175"/>
      <c r="N210" s="172"/>
      <c r="O210" s="28"/>
      <c r="P210" s="225"/>
      <c r="Q210" s="36"/>
    </row>
    <row r="211" spans="1:17" s="6" customFormat="1" ht="15.75" thickBot="1" x14ac:dyDescent="0.3">
      <c r="A211" s="69" t="s">
        <v>150</v>
      </c>
      <c r="B211" s="70" t="s">
        <v>95</v>
      </c>
      <c r="C211" s="71"/>
      <c r="D211" s="71">
        <f>SUM(C203:C209)</f>
        <v>2566440</v>
      </c>
      <c r="E211" s="73"/>
      <c r="F211" s="72">
        <f>SUM(E203:E208)</f>
        <v>2122591.65</v>
      </c>
      <c r="G211" s="71"/>
      <c r="H211" s="71">
        <f>SUM(G203:G209)</f>
        <v>2082335</v>
      </c>
      <c r="I211" s="73"/>
      <c r="J211" s="72">
        <f>SUM(I203:I208)</f>
        <v>2167116.7999999998</v>
      </c>
      <c r="K211" s="71"/>
      <c r="L211" s="71">
        <f>SUM(K203:K209)</f>
        <v>1253585</v>
      </c>
      <c r="M211" s="73"/>
      <c r="N211" s="72">
        <f>SUM(M203:M208)</f>
        <v>1167092.4000000001</v>
      </c>
      <c r="O211" s="219"/>
      <c r="P211" s="73"/>
      <c r="Q211" s="72">
        <f>SUM(P203:P209)</f>
        <v>801426.15</v>
      </c>
    </row>
    <row r="212" spans="1:17" s="13" customFormat="1" x14ac:dyDescent="0.25">
      <c r="A212" s="150"/>
      <c r="B212" s="56"/>
      <c r="C212" s="198"/>
      <c r="D212" s="56"/>
      <c r="E212" s="199"/>
      <c r="F212" s="200"/>
      <c r="G212" s="198"/>
      <c r="H212" s="56"/>
      <c r="I212" s="199"/>
      <c r="J212" s="200"/>
      <c r="K212" s="198"/>
      <c r="L212" s="56"/>
      <c r="M212" s="199"/>
      <c r="N212" s="200"/>
      <c r="O212" s="28"/>
      <c r="P212" s="198"/>
      <c r="Q212" s="56"/>
    </row>
    <row r="213" spans="1:17" s="13" customFormat="1" x14ac:dyDescent="0.25">
      <c r="A213" s="165" t="s">
        <v>338</v>
      </c>
      <c r="B213" s="161" t="s">
        <v>339</v>
      </c>
      <c r="C213" s="213"/>
      <c r="D213" s="161"/>
      <c r="E213" s="214"/>
      <c r="F213" s="215">
        <v>22.5</v>
      </c>
      <c r="G213" s="213"/>
      <c r="H213" s="161"/>
      <c r="I213" s="214"/>
      <c r="J213" s="215"/>
      <c r="K213" s="213"/>
      <c r="L213" s="161"/>
      <c r="M213" s="214"/>
      <c r="N213" s="216"/>
      <c r="O213" s="28"/>
      <c r="P213" s="240"/>
      <c r="Q213" s="25"/>
    </row>
    <row r="214" spans="1:17" s="13" customFormat="1" x14ac:dyDescent="0.25">
      <c r="A214" s="47"/>
      <c r="B214" s="28"/>
      <c r="C214" s="39"/>
      <c r="D214" s="28"/>
      <c r="E214" s="170"/>
      <c r="F214" s="201"/>
      <c r="G214" s="39"/>
      <c r="H214" s="28"/>
      <c r="I214" s="170"/>
      <c r="J214" s="201"/>
      <c r="K214" s="39"/>
      <c r="L214" s="28"/>
      <c r="M214" s="170"/>
      <c r="N214" s="201"/>
      <c r="O214" s="28"/>
      <c r="P214" s="39"/>
      <c r="Q214" s="28"/>
    </row>
    <row r="215" spans="1:17" ht="15.75" thickBot="1" x14ac:dyDescent="0.3">
      <c r="A215" s="45" t="s">
        <v>176</v>
      </c>
      <c r="B215" s="151"/>
      <c r="C215" s="39"/>
      <c r="D215" s="28"/>
      <c r="E215" s="170"/>
      <c r="F215" s="201"/>
      <c r="G215" s="39"/>
      <c r="H215" s="28"/>
      <c r="I215" s="170"/>
      <c r="J215" s="201"/>
      <c r="K215" s="39"/>
      <c r="L215" s="28"/>
      <c r="M215" s="170"/>
      <c r="N215" s="201"/>
      <c r="O215" s="28"/>
      <c r="P215" s="39"/>
      <c r="Q215" s="28"/>
    </row>
    <row r="216" spans="1:17" x14ac:dyDescent="0.25">
      <c r="A216" s="150" t="s">
        <v>177</v>
      </c>
      <c r="B216" s="154" t="s">
        <v>321</v>
      </c>
      <c r="C216" s="155"/>
      <c r="D216" s="155">
        <f>SUM(D188+D165+D138+D104)</f>
        <v>892650</v>
      </c>
      <c r="E216" s="194"/>
      <c r="F216" s="195">
        <f>SUM(F188+F165+F138+F104)</f>
        <v>481080.24999999994</v>
      </c>
      <c r="G216" s="155"/>
      <c r="H216" s="155">
        <f>SUM(H188+H165+H138+H104)</f>
        <v>1058795</v>
      </c>
      <c r="I216" s="194"/>
      <c r="J216" s="195">
        <f>SUM(J188+J165+J138+J104)</f>
        <v>595671.98</v>
      </c>
      <c r="K216" s="155"/>
      <c r="L216" s="155">
        <f>SUM(L188+L165+L138+L104)</f>
        <v>1217562.1200000001</v>
      </c>
      <c r="M216" s="194"/>
      <c r="N216" s="195">
        <f>SUM(N188+N165+N138+N104)</f>
        <v>701372.22</v>
      </c>
      <c r="O216" s="30"/>
      <c r="P216" s="236"/>
      <c r="Q216" s="237"/>
    </row>
    <row r="217" spans="1:17" ht="15.75" thickBot="1" x14ac:dyDescent="0.3">
      <c r="A217" s="152" t="s">
        <v>177</v>
      </c>
      <c r="B217" s="50" t="s">
        <v>322</v>
      </c>
      <c r="C217" s="153"/>
      <c r="D217" s="153">
        <f>SUM(D211,D188,D165,D138,D104)</f>
        <v>3459090</v>
      </c>
      <c r="E217" s="196"/>
      <c r="F217" s="197">
        <f>SUM(F211+F188+F165+F138+F104+F213)</f>
        <v>2603694.4000000004</v>
      </c>
      <c r="G217" s="153"/>
      <c r="H217" s="153">
        <f>SUM(H211,H188,H165,H138,H104)</f>
        <v>3141130</v>
      </c>
      <c r="I217" s="196"/>
      <c r="J217" s="197">
        <f>SUM(J211+J188+J165+J138+J104)</f>
        <v>2762788.78</v>
      </c>
      <c r="K217" s="153"/>
      <c r="L217" s="153">
        <f>SUM(L211,L188,L165,L138,L104)</f>
        <v>2471147.12</v>
      </c>
      <c r="M217" s="196"/>
      <c r="N217" s="197">
        <f>SUM(N211+N188+N165+N138+N104)</f>
        <v>1868464.62</v>
      </c>
      <c r="O217" s="30"/>
      <c r="P217" s="238"/>
      <c r="Q217" s="239">
        <f>SUM(Q211,Q188,Q165,Q138,Q104)</f>
        <v>1871076.15</v>
      </c>
    </row>
    <row r="218" spans="1:17" x14ac:dyDescent="0.25">
      <c r="A218" s="8"/>
      <c r="B218" s="2"/>
      <c r="C218" s="7"/>
      <c r="D218" s="7"/>
      <c r="E218" s="22"/>
      <c r="G218" s="7"/>
      <c r="H218" s="7"/>
      <c r="I218" s="22"/>
      <c r="O218" s="84"/>
      <c r="P218" s="7"/>
      <c r="Q218" s="7"/>
    </row>
    <row r="219" spans="1:17" x14ac:dyDescent="0.25">
      <c r="B219" s="248"/>
      <c r="C219" s="249"/>
      <c r="D219" s="212"/>
      <c r="E219" s="212"/>
      <c r="F219" s="212"/>
      <c r="G219" s="249"/>
      <c r="H219" s="212"/>
      <c r="I219" s="212"/>
      <c r="J219" s="212"/>
      <c r="K219" s="249"/>
      <c r="L219" s="212"/>
      <c r="M219" s="212"/>
      <c r="N219" s="212"/>
      <c r="O219" s="39"/>
      <c r="P219" s="249"/>
      <c r="Q219" s="212"/>
    </row>
    <row r="220" spans="1:17" x14ac:dyDescent="0.25">
      <c r="O220" s="84"/>
    </row>
    <row r="222" spans="1:17" x14ac:dyDescent="0.25">
      <c r="B222" s="3"/>
      <c r="C222" s="3"/>
      <c r="D222" s="3"/>
      <c r="E222" s="3"/>
      <c r="F222" s="3"/>
      <c r="G222" s="3"/>
      <c r="H222" s="3"/>
      <c r="I222" s="3"/>
      <c r="J222" s="3"/>
    </row>
  </sheetData>
  <mergeCells count="13">
    <mergeCell ref="A83:B83"/>
    <mergeCell ref="A4:B4"/>
    <mergeCell ref="A1:P1"/>
    <mergeCell ref="M3:N3"/>
    <mergeCell ref="K3:L3"/>
    <mergeCell ref="G3:H3"/>
    <mergeCell ref="I3:J3"/>
    <mergeCell ref="C3:D3"/>
    <mergeCell ref="E3:F3"/>
    <mergeCell ref="C2:F2"/>
    <mergeCell ref="G2:J2"/>
    <mergeCell ref="K2:N2"/>
    <mergeCell ref="P2:Q2"/>
  </mergeCells>
  <pageMargins left="0.7" right="0.7" top="0.78740157499999996" bottom="0.78740157499999996" header="0.3" footer="0.3"/>
  <pageSetup paperSize="9"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topLeftCell="B34" zoomScaleNormal="100" workbookViewId="0">
      <pane xSplit="1" topLeftCell="C1" activePane="topRight" state="frozen"/>
      <selection activeCell="B1" sqref="B1"/>
      <selection pane="topRight" activeCell="J60" sqref="J60"/>
    </sheetView>
  </sheetViews>
  <sheetFormatPr baseColWidth="10" defaultRowHeight="15" x14ac:dyDescent="0.25"/>
  <cols>
    <col min="1" max="1" width="3.7109375" style="13" customWidth="1"/>
    <col min="2" max="2" width="48.140625" style="1" customWidth="1"/>
    <col min="3" max="3" width="21.42578125" style="13" customWidth="1"/>
    <col min="4" max="4" width="14" style="13" customWidth="1"/>
    <col min="5" max="5" width="12.85546875" style="13" customWidth="1"/>
    <col min="6" max="6" width="31" customWidth="1"/>
    <col min="7" max="7" width="8.28515625" customWidth="1"/>
    <col min="8" max="8" width="39.85546875" style="13" customWidth="1"/>
    <col min="9" max="9" width="16.85546875" customWidth="1"/>
    <col min="10" max="10" width="34" style="13" customWidth="1"/>
    <col min="11" max="11" width="31.42578125" customWidth="1"/>
  </cols>
  <sheetData>
    <row r="1" spans="2:12" ht="19.5" x14ac:dyDescent="0.3">
      <c r="B1" s="11" t="s">
        <v>257</v>
      </c>
    </row>
    <row r="2" spans="2:12" s="13" customFormat="1" ht="19.5" x14ac:dyDescent="0.3">
      <c r="B2" s="11"/>
    </row>
    <row r="3" spans="2:12" x14ac:dyDescent="0.25">
      <c r="B3" s="17"/>
      <c r="C3" s="208" t="s">
        <v>273</v>
      </c>
      <c r="D3" s="208"/>
      <c r="E3" s="208"/>
      <c r="F3" s="208"/>
      <c r="G3" s="93"/>
      <c r="H3" s="93"/>
      <c r="I3" s="208" t="s">
        <v>256</v>
      </c>
      <c r="J3" s="208"/>
      <c r="K3" s="208"/>
    </row>
    <row r="4" spans="2:12" ht="17.25" x14ac:dyDescent="0.25">
      <c r="B4" s="18" t="s">
        <v>13</v>
      </c>
      <c r="C4" s="18" t="s">
        <v>267</v>
      </c>
      <c r="D4" s="18" t="s">
        <v>268</v>
      </c>
      <c r="E4" s="18" t="s">
        <v>270</v>
      </c>
      <c r="F4" s="16" t="s">
        <v>318</v>
      </c>
      <c r="H4" s="167" t="s">
        <v>311</v>
      </c>
      <c r="I4" s="168" t="s">
        <v>312</v>
      </c>
      <c r="J4" s="18" t="s">
        <v>272</v>
      </c>
      <c r="K4" s="18" t="s">
        <v>269</v>
      </c>
    </row>
    <row r="5" spans="2:12" x14ac:dyDescent="0.25">
      <c r="B5" s="169" t="s">
        <v>27</v>
      </c>
      <c r="C5" s="88">
        <v>2416</v>
      </c>
      <c r="D5" s="88"/>
      <c r="E5" s="88">
        <v>0</v>
      </c>
      <c r="F5" s="88">
        <v>2416</v>
      </c>
      <c r="H5" s="90">
        <v>2522.5</v>
      </c>
      <c r="I5" s="90">
        <v>878.76</v>
      </c>
      <c r="J5" s="90">
        <v>500</v>
      </c>
      <c r="K5" s="91">
        <f>H5-I5-J5</f>
        <v>1143.74</v>
      </c>
      <c r="L5" s="41"/>
    </row>
    <row r="6" spans="2:12" x14ac:dyDescent="0.25">
      <c r="B6" s="169" t="s">
        <v>28</v>
      </c>
      <c r="C6" s="88">
        <v>2487</v>
      </c>
      <c r="D6" s="88"/>
      <c r="E6" s="88">
        <v>0</v>
      </c>
      <c r="F6" s="88">
        <v>2487</v>
      </c>
      <c r="H6" s="90">
        <v>2487</v>
      </c>
      <c r="I6" s="90">
        <v>1085.4100000000001</v>
      </c>
      <c r="J6" s="90">
        <v>397</v>
      </c>
      <c r="K6" s="91">
        <f t="shared" ref="K6:K53" si="0">H6-I6-J6</f>
        <v>1004.5899999999999</v>
      </c>
    </row>
    <row r="7" spans="2:12" x14ac:dyDescent="0.25">
      <c r="B7" s="169" t="s">
        <v>29</v>
      </c>
      <c r="C7" s="88">
        <v>2947</v>
      </c>
      <c r="D7" s="88"/>
      <c r="E7" s="88">
        <v>240</v>
      </c>
      <c r="F7" s="88">
        <v>2947</v>
      </c>
      <c r="H7" s="90">
        <v>3233</v>
      </c>
      <c r="I7" s="90">
        <v>826.44</v>
      </c>
      <c r="J7" s="90">
        <v>595</v>
      </c>
      <c r="K7" s="91">
        <f t="shared" si="0"/>
        <v>1811.56</v>
      </c>
    </row>
    <row r="8" spans="2:12" x14ac:dyDescent="0.25">
      <c r="B8" s="169" t="s">
        <v>30</v>
      </c>
      <c r="C8" s="88">
        <v>5676</v>
      </c>
      <c r="D8" s="88"/>
      <c r="E8" s="88">
        <v>3420</v>
      </c>
      <c r="F8" s="88">
        <v>5676</v>
      </c>
      <c r="H8" s="90">
        <v>7100.08</v>
      </c>
      <c r="I8" s="90">
        <v>6176.59</v>
      </c>
      <c r="J8" s="90">
        <v>0</v>
      </c>
      <c r="K8" s="91">
        <f t="shared" si="0"/>
        <v>923.48999999999978</v>
      </c>
    </row>
    <row r="9" spans="2:12" x14ac:dyDescent="0.25">
      <c r="B9" s="169" t="s">
        <v>31</v>
      </c>
      <c r="C9" s="88">
        <v>2348</v>
      </c>
      <c r="D9" s="88"/>
      <c r="E9" s="88">
        <v>0</v>
      </c>
      <c r="F9" s="88">
        <v>2348</v>
      </c>
      <c r="H9" s="90">
        <v>2348</v>
      </c>
      <c r="I9" s="90">
        <v>530.84</v>
      </c>
      <c r="J9" s="90">
        <v>0</v>
      </c>
      <c r="K9" s="91">
        <f t="shared" si="0"/>
        <v>1817.1599999999999</v>
      </c>
    </row>
    <row r="10" spans="2:12" x14ac:dyDescent="0.25">
      <c r="B10" s="169" t="s">
        <v>32</v>
      </c>
      <c r="C10" s="88">
        <v>8384</v>
      </c>
      <c r="D10" s="88"/>
      <c r="E10" s="88">
        <v>9373.85</v>
      </c>
      <c r="F10" s="88">
        <v>8384</v>
      </c>
      <c r="H10" s="90">
        <v>36220.61</v>
      </c>
      <c r="I10" s="90">
        <v>23460.78</v>
      </c>
      <c r="J10" s="90">
        <v>957</v>
      </c>
      <c r="K10" s="91">
        <f t="shared" si="0"/>
        <v>11802.830000000002</v>
      </c>
    </row>
    <row r="11" spans="2:12" x14ac:dyDescent="0.25">
      <c r="B11" s="169" t="s">
        <v>258</v>
      </c>
      <c r="C11" s="88">
        <v>5926</v>
      </c>
      <c r="D11" s="88"/>
      <c r="E11" s="88">
        <v>31540</v>
      </c>
      <c r="F11" s="88">
        <v>5926</v>
      </c>
      <c r="H11" s="90">
        <v>23697.17</v>
      </c>
      <c r="I11" s="90">
        <v>22507.84</v>
      </c>
      <c r="J11" s="90">
        <v>0</v>
      </c>
      <c r="K11" s="91">
        <f t="shared" si="0"/>
        <v>1189.3299999999981</v>
      </c>
    </row>
    <row r="12" spans="2:12" x14ac:dyDescent="0.25">
      <c r="B12" s="169" t="s">
        <v>33</v>
      </c>
      <c r="C12" s="88">
        <v>3192</v>
      </c>
      <c r="D12" s="89">
        <v>1065</v>
      </c>
      <c r="E12" s="94">
        <v>2450</v>
      </c>
      <c r="F12" s="20">
        <f>SUM(C12:D12)</f>
        <v>4257</v>
      </c>
      <c r="H12" s="90">
        <v>6182</v>
      </c>
      <c r="I12" s="90">
        <v>4973.7299999999996</v>
      </c>
      <c r="J12" s="90">
        <v>900</v>
      </c>
      <c r="K12" s="91">
        <f t="shared" si="0"/>
        <v>308.27000000000044</v>
      </c>
    </row>
    <row r="13" spans="2:12" x14ac:dyDescent="0.25">
      <c r="B13" s="169" t="s">
        <v>34</v>
      </c>
      <c r="C13" s="88">
        <v>3600</v>
      </c>
      <c r="D13" s="88"/>
      <c r="E13" s="88">
        <v>650</v>
      </c>
      <c r="F13" s="88">
        <v>3600</v>
      </c>
      <c r="H13" s="90">
        <v>4111.84</v>
      </c>
      <c r="I13" s="90">
        <v>1346.18</v>
      </c>
      <c r="J13" s="90">
        <v>0</v>
      </c>
      <c r="K13" s="91">
        <f t="shared" si="0"/>
        <v>2765.66</v>
      </c>
    </row>
    <row r="14" spans="2:12" x14ac:dyDescent="0.25">
      <c r="B14" s="169" t="s">
        <v>35</v>
      </c>
      <c r="C14" s="88">
        <v>3624</v>
      </c>
      <c r="D14" s="88"/>
      <c r="E14" s="88">
        <v>0</v>
      </c>
      <c r="F14" s="88">
        <v>3624</v>
      </c>
      <c r="H14" s="90">
        <v>3952.33</v>
      </c>
      <c r="I14" s="90">
        <v>2548.75</v>
      </c>
      <c r="J14" s="90">
        <v>0</v>
      </c>
      <c r="K14" s="91">
        <f t="shared" si="0"/>
        <v>1403.58</v>
      </c>
    </row>
    <row r="15" spans="2:12" x14ac:dyDescent="0.25">
      <c r="B15" s="169" t="s">
        <v>36</v>
      </c>
      <c r="C15" s="88">
        <v>3216</v>
      </c>
      <c r="D15" s="88"/>
      <c r="E15" s="88">
        <v>0</v>
      </c>
      <c r="F15" s="88">
        <v>3216</v>
      </c>
      <c r="H15" s="90">
        <v>3671.17</v>
      </c>
      <c r="I15" s="90">
        <v>2174.44</v>
      </c>
      <c r="J15" s="90">
        <v>0</v>
      </c>
      <c r="K15" s="91">
        <f t="shared" si="0"/>
        <v>1496.73</v>
      </c>
    </row>
    <row r="16" spans="2:12" x14ac:dyDescent="0.25">
      <c r="B16" s="169" t="s">
        <v>37</v>
      </c>
      <c r="C16" s="88">
        <v>5041</v>
      </c>
      <c r="D16" s="89">
        <v>789.21</v>
      </c>
      <c r="E16" s="94">
        <v>1500</v>
      </c>
      <c r="F16" s="15">
        <f>SUM(C16:D16)</f>
        <v>5830.21</v>
      </c>
      <c r="H16" s="90">
        <v>12718.21</v>
      </c>
      <c r="I16" s="90">
        <v>11524.14</v>
      </c>
      <c r="J16" s="90">
        <v>634.07000000000005</v>
      </c>
      <c r="K16" s="91">
        <f t="shared" si="0"/>
        <v>559.99999999999966</v>
      </c>
    </row>
    <row r="17" spans="2:12" x14ac:dyDescent="0.25">
      <c r="B17" s="169" t="s">
        <v>38</v>
      </c>
      <c r="C17" s="88">
        <v>2883</v>
      </c>
      <c r="D17" s="88"/>
      <c r="E17" s="88">
        <v>7100</v>
      </c>
      <c r="F17" s="88">
        <v>2883</v>
      </c>
      <c r="H17" s="95">
        <v>2883</v>
      </c>
      <c r="I17" s="95">
        <v>346.78</v>
      </c>
      <c r="J17" s="90">
        <v>0</v>
      </c>
      <c r="K17" s="91">
        <f t="shared" si="0"/>
        <v>2536.2200000000003</v>
      </c>
    </row>
    <row r="18" spans="2:12" x14ac:dyDescent="0.25">
      <c r="B18" s="169" t="s">
        <v>39</v>
      </c>
      <c r="C18" s="88">
        <v>4935</v>
      </c>
      <c r="D18" s="88"/>
      <c r="E18" s="88">
        <v>1900</v>
      </c>
      <c r="F18" s="88">
        <v>4935</v>
      </c>
      <c r="H18" s="90">
        <v>6376.79</v>
      </c>
      <c r="I18" s="90">
        <v>3748.04</v>
      </c>
      <c r="J18" s="90">
        <v>0</v>
      </c>
      <c r="K18" s="91">
        <f t="shared" si="0"/>
        <v>2628.75</v>
      </c>
    </row>
    <row r="19" spans="2:12" x14ac:dyDescent="0.25">
      <c r="B19" s="169" t="s">
        <v>259</v>
      </c>
      <c r="C19" s="88">
        <v>2437</v>
      </c>
      <c r="D19" s="88"/>
      <c r="E19" s="88">
        <v>0</v>
      </c>
      <c r="F19" s="88">
        <v>2437</v>
      </c>
      <c r="H19" s="90">
        <v>2437</v>
      </c>
      <c r="I19" s="90">
        <v>823.23</v>
      </c>
      <c r="J19" s="90">
        <v>0</v>
      </c>
      <c r="K19" s="91">
        <f t="shared" si="0"/>
        <v>1613.77</v>
      </c>
    </row>
    <row r="20" spans="2:12" x14ac:dyDescent="0.25">
      <c r="B20" s="169" t="s">
        <v>40</v>
      </c>
      <c r="C20" s="88">
        <v>5668</v>
      </c>
      <c r="D20" s="88"/>
      <c r="E20" s="88">
        <v>4900</v>
      </c>
      <c r="F20" s="88">
        <v>5668</v>
      </c>
      <c r="H20" s="90">
        <v>7997.04</v>
      </c>
      <c r="I20" s="90">
        <v>7166.79</v>
      </c>
      <c r="J20" s="90">
        <v>87</v>
      </c>
      <c r="K20" s="91">
        <f t="shared" si="0"/>
        <v>743.25</v>
      </c>
    </row>
    <row r="21" spans="2:12" x14ac:dyDescent="0.25">
      <c r="B21" s="169" t="s">
        <v>271</v>
      </c>
      <c r="C21" s="88">
        <v>4995</v>
      </c>
      <c r="D21" s="89">
        <v>5598</v>
      </c>
      <c r="E21" s="94">
        <v>50300</v>
      </c>
      <c r="F21" s="15">
        <f>SUM(C21:D21)</f>
        <v>10593</v>
      </c>
      <c r="H21" s="90">
        <f>30328.61+31133.65</f>
        <v>61462.26</v>
      </c>
      <c r="I21" s="90">
        <f>19409.42+36688+1000</f>
        <v>57097.42</v>
      </c>
      <c r="J21" s="90">
        <v>0</v>
      </c>
      <c r="K21" s="91">
        <f t="shared" si="0"/>
        <v>4364.8400000000038</v>
      </c>
      <c r="L21" s="13" t="s">
        <v>316</v>
      </c>
    </row>
    <row r="22" spans="2:12" x14ac:dyDescent="0.25">
      <c r="B22" s="169" t="s">
        <v>313</v>
      </c>
      <c r="C22" s="88">
        <v>2515</v>
      </c>
      <c r="D22" s="88"/>
      <c r="E22" s="88">
        <v>0</v>
      </c>
      <c r="F22" s="88">
        <v>2515</v>
      </c>
      <c r="H22" s="90">
        <v>2515</v>
      </c>
      <c r="I22" s="90">
        <v>523.79</v>
      </c>
      <c r="J22" s="90">
        <v>0</v>
      </c>
      <c r="K22" s="91">
        <f t="shared" si="0"/>
        <v>1991.21</v>
      </c>
      <c r="L22" s="41"/>
    </row>
    <row r="23" spans="2:12" x14ac:dyDescent="0.25">
      <c r="B23" s="169" t="s">
        <v>41</v>
      </c>
      <c r="C23" s="88">
        <v>3159</v>
      </c>
      <c r="D23" s="88">
        <v>1750</v>
      </c>
      <c r="E23" s="88">
        <v>0</v>
      </c>
      <c r="F23" s="15">
        <f>SUM(C23:D23)</f>
        <v>4909</v>
      </c>
      <c r="H23" s="90">
        <v>5739.18</v>
      </c>
      <c r="I23" s="90">
        <v>3634.42</v>
      </c>
      <c r="J23" s="90">
        <v>2600</v>
      </c>
      <c r="K23" s="91">
        <f t="shared" si="0"/>
        <v>-495.23999999999978</v>
      </c>
    </row>
    <row r="24" spans="2:12" x14ac:dyDescent="0.25">
      <c r="B24" s="169" t="s">
        <v>42</v>
      </c>
      <c r="C24" s="88">
        <v>12760</v>
      </c>
      <c r="D24" s="88">
        <v>1500</v>
      </c>
      <c r="E24" s="88">
        <v>9100</v>
      </c>
      <c r="F24" s="15">
        <f>SUM(C24:D24)</f>
        <v>14260</v>
      </c>
      <c r="H24" s="90">
        <v>24695.85</v>
      </c>
      <c r="I24" s="90">
        <v>21547.77</v>
      </c>
      <c r="J24" s="90">
        <v>2200</v>
      </c>
      <c r="K24" s="91">
        <f t="shared" si="0"/>
        <v>948.07999999999811</v>
      </c>
    </row>
    <row r="25" spans="2:12" x14ac:dyDescent="0.25">
      <c r="B25" s="169" t="s">
        <v>260</v>
      </c>
      <c r="C25" s="88">
        <v>2919</v>
      </c>
      <c r="D25" s="88"/>
      <c r="E25" s="88">
        <v>0</v>
      </c>
      <c r="F25" s="88">
        <v>2919</v>
      </c>
      <c r="H25" s="90">
        <v>2919</v>
      </c>
      <c r="I25" s="90">
        <v>2015.21</v>
      </c>
      <c r="J25" s="90">
        <v>557</v>
      </c>
      <c r="K25" s="91">
        <f t="shared" si="0"/>
        <v>346.78999999999996</v>
      </c>
    </row>
    <row r="26" spans="2:12" x14ac:dyDescent="0.25">
      <c r="B26" s="169" t="s">
        <v>43</v>
      </c>
      <c r="C26" s="88">
        <v>3014</v>
      </c>
      <c r="D26" s="88"/>
      <c r="E26" s="88">
        <v>201</v>
      </c>
      <c r="F26" s="88">
        <v>3014</v>
      </c>
      <c r="H26" s="90">
        <v>3444</v>
      </c>
      <c r="I26" s="90">
        <v>1879.06</v>
      </c>
      <c r="J26" s="90">
        <v>873</v>
      </c>
      <c r="K26" s="91">
        <f t="shared" si="0"/>
        <v>691.94</v>
      </c>
    </row>
    <row r="27" spans="2:12" x14ac:dyDescent="0.25">
      <c r="B27" s="169" t="s">
        <v>167</v>
      </c>
      <c r="C27" s="88">
        <v>3494</v>
      </c>
      <c r="D27" s="88"/>
      <c r="E27" s="88">
        <v>250</v>
      </c>
      <c r="F27" s="88">
        <v>3494</v>
      </c>
      <c r="H27" s="90">
        <v>3974.1</v>
      </c>
      <c r="I27" s="90">
        <v>1280.8499999999999</v>
      </c>
      <c r="J27" s="90">
        <v>0</v>
      </c>
      <c r="K27" s="91">
        <f t="shared" si="0"/>
        <v>2693.25</v>
      </c>
    </row>
    <row r="28" spans="2:12" x14ac:dyDescent="0.25">
      <c r="B28" s="169" t="s">
        <v>44</v>
      </c>
      <c r="C28" s="88">
        <v>5550</v>
      </c>
      <c r="D28" s="88"/>
      <c r="E28" s="88">
        <v>0</v>
      </c>
      <c r="F28" s="88">
        <v>5550</v>
      </c>
      <c r="H28" s="90">
        <v>0</v>
      </c>
      <c r="I28" s="90">
        <v>0</v>
      </c>
      <c r="J28" s="90">
        <v>0</v>
      </c>
      <c r="K28" s="91" t="s">
        <v>317</v>
      </c>
    </row>
    <row r="29" spans="2:12" x14ac:dyDescent="0.25">
      <c r="B29" s="169" t="s">
        <v>168</v>
      </c>
      <c r="C29" s="88">
        <v>18359</v>
      </c>
      <c r="D29" s="88">
        <v>4520</v>
      </c>
      <c r="E29" s="88">
        <v>4914</v>
      </c>
      <c r="F29" s="15">
        <f>SUM(C29:D29)</f>
        <v>22879</v>
      </c>
      <c r="H29" s="90">
        <v>21885</v>
      </c>
      <c r="I29" s="90">
        <v>11787.43</v>
      </c>
      <c r="J29" s="90">
        <v>4500</v>
      </c>
      <c r="K29" s="91">
        <f t="shared" si="0"/>
        <v>5597.57</v>
      </c>
    </row>
    <row r="30" spans="2:12" x14ac:dyDescent="0.25">
      <c r="B30" s="169" t="s">
        <v>169</v>
      </c>
      <c r="C30" s="88">
        <v>10297</v>
      </c>
      <c r="D30" s="88"/>
      <c r="E30" s="88">
        <v>3370</v>
      </c>
      <c r="F30" s="88">
        <v>10297</v>
      </c>
      <c r="H30" s="90">
        <v>16177</v>
      </c>
      <c r="I30" s="90">
        <v>14297.68</v>
      </c>
      <c r="J30" s="90">
        <v>1750</v>
      </c>
      <c r="K30" s="91">
        <f>H30-I30-J30</f>
        <v>129.31999999999971</v>
      </c>
      <c r="L30" s="41"/>
    </row>
    <row r="31" spans="2:12" x14ac:dyDescent="0.25">
      <c r="B31" s="169" t="s">
        <v>261</v>
      </c>
      <c r="C31" s="88">
        <v>2425</v>
      </c>
      <c r="D31" s="88"/>
      <c r="E31" s="88">
        <v>0</v>
      </c>
      <c r="F31" s="88">
        <v>2425</v>
      </c>
      <c r="H31" s="90">
        <v>2455.65</v>
      </c>
      <c r="I31" s="90">
        <v>514.41</v>
      </c>
      <c r="J31" s="90">
        <v>1195</v>
      </c>
      <c r="K31" s="91">
        <f t="shared" si="0"/>
        <v>746.24000000000024</v>
      </c>
    </row>
    <row r="32" spans="2:12" x14ac:dyDescent="0.25">
      <c r="B32" s="169" t="s">
        <v>45</v>
      </c>
      <c r="C32" s="88">
        <v>4399</v>
      </c>
      <c r="D32" s="88"/>
      <c r="E32" s="88">
        <v>18000</v>
      </c>
      <c r="F32" s="88">
        <v>4399</v>
      </c>
      <c r="H32" s="90">
        <v>23185.07</v>
      </c>
      <c r="I32" s="90">
        <f>12153.78+57.05</f>
        <v>12210.83</v>
      </c>
      <c r="J32" s="90">
        <v>10546</v>
      </c>
      <c r="K32" s="91">
        <f t="shared" si="0"/>
        <v>428.23999999999978</v>
      </c>
      <c r="L32" t="s">
        <v>316</v>
      </c>
    </row>
    <row r="33" spans="2:11" x14ac:dyDescent="0.25">
      <c r="B33" s="169" t="s">
        <v>46</v>
      </c>
      <c r="C33" s="88">
        <v>2758</v>
      </c>
      <c r="D33" s="88"/>
      <c r="E33" s="88">
        <v>0</v>
      </c>
      <c r="F33" s="88">
        <v>2758</v>
      </c>
      <c r="H33" s="90">
        <v>2758</v>
      </c>
      <c r="I33" s="90">
        <v>1269.3399999999999</v>
      </c>
      <c r="J33" s="90">
        <v>0</v>
      </c>
      <c r="K33" s="91">
        <f t="shared" si="0"/>
        <v>1488.66</v>
      </c>
    </row>
    <row r="34" spans="2:11" x14ac:dyDescent="0.25">
      <c r="B34" s="169" t="s">
        <v>47</v>
      </c>
      <c r="C34" s="88">
        <v>2607</v>
      </c>
      <c r="D34" s="88"/>
      <c r="E34" s="88">
        <v>0</v>
      </c>
      <c r="F34" s="88">
        <v>2607</v>
      </c>
      <c r="H34" s="90">
        <v>2607</v>
      </c>
      <c r="I34" s="90">
        <v>780.09</v>
      </c>
      <c r="J34" s="90">
        <v>700</v>
      </c>
      <c r="K34" s="91">
        <f t="shared" si="0"/>
        <v>1126.9099999999999</v>
      </c>
    </row>
    <row r="35" spans="2:11" x14ac:dyDescent="0.25">
      <c r="B35" s="169" t="s">
        <v>262</v>
      </c>
      <c r="C35" s="88">
        <v>3075</v>
      </c>
      <c r="D35" s="88">
        <v>-164.17</v>
      </c>
      <c r="E35" s="88">
        <v>9510</v>
      </c>
      <c r="F35" s="15">
        <f>SUM(C35:D35)</f>
        <v>2910.83</v>
      </c>
      <c r="H35" s="90">
        <v>8079.46</v>
      </c>
      <c r="I35" s="90">
        <v>6923.95</v>
      </c>
      <c r="J35" s="90">
        <v>955</v>
      </c>
      <c r="K35" s="91">
        <f t="shared" si="0"/>
        <v>200.51000000000022</v>
      </c>
    </row>
    <row r="36" spans="2:11" x14ac:dyDescent="0.25">
      <c r="B36" s="169" t="s">
        <v>48</v>
      </c>
      <c r="C36" s="88">
        <v>4440</v>
      </c>
      <c r="D36" s="88">
        <v>845.04</v>
      </c>
      <c r="E36" s="88">
        <v>2310</v>
      </c>
      <c r="F36" s="15">
        <f>SUM(C36:D36)</f>
        <v>5285.04</v>
      </c>
      <c r="H36" s="90">
        <v>7058.53</v>
      </c>
      <c r="I36" s="90">
        <v>5771.67</v>
      </c>
      <c r="J36" s="90">
        <v>780</v>
      </c>
      <c r="K36" s="91">
        <f t="shared" si="0"/>
        <v>506.85999999999967</v>
      </c>
    </row>
    <row r="37" spans="2:11" x14ac:dyDescent="0.25">
      <c r="B37" s="169" t="s">
        <v>263</v>
      </c>
      <c r="C37" s="88">
        <v>12457</v>
      </c>
      <c r="D37" s="88"/>
      <c r="E37" s="88">
        <v>0</v>
      </c>
      <c r="F37" s="88">
        <v>12457</v>
      </c>
      <c r="H37" s="90">
        <v>0</v>
      </c>
      <c r="I37" s="90">
        <v>0</v>
      </c>
      <c r="J37" s="90">
        <v>2000</v>
      </c>
      <c r="K37" s="91" t="s">
        <v>317</v>
      </c>
    </row>
    <row r="38" spans="2:11" x14ac:dyDescent="0.25">
      <c r="B38" s="169" t="s">
        <v>49</v>
      </c>
      <c r="C38" s="88">
        <v>5014</v>
      </c>
      <c r="D38" s="88"/>
      <c r="E38" s="88">
        <v>3950</v>
      </c>
      <c r="F38" s="88">
        <v>5014</v>
      </c>
      <c r="H38" s="90">
        <v>9351.0300000000007</v>
      </c>
      <c r="I38" s="90">
        <v>3595.98</v>
      </c>
      <c r="J38" s="90">
        <v>5426</v>
      </c>
      <c r="K38" s="91">
        <f t="shared" si="0"/>
        <v>329.05000000000109</v>
      </c>
    </row>
    <row r="39" spans="2:11" x14ac:dyDescent="0.25">
      <c r="B39" s="169" t="s">
        <v>50</v>
      </c>
      <c r="C39" s="88">
        <v>5217</v>
      </c>
      <c r="D39" s="88">
        <v>1500</v>
      </c>
      <c r="E39" s="88">
        <v>8000</v>
      </c>
      <c r="F39" s="15">
        <f>SUM(C39:D39)</f>
        <v>6717</v>
      </c>
      <c r="H39" s="90">
        <v>11197</v>
      </c>
      <c r="I39" s="90">
        <v>8247.81</v>
      </c>
      <c r="J39" s="90">
        <v>2788</v>
      </c>
      <c r="K39" s="91">
        <f t="shared" si="0"/>
        <v>161.19000000000051</v>
      </c>
    </row>
    <row r="40" spans="2:11" x14ac:dyDescent="0.25">
      <c r="B40" s="169" t="s">
        <v>264</v>
      </c>
      <c r="C40" s="88">
        <v>2629</v>
      </c>
      <c r="D40" s="88"/>
      <c r="E40" s="88">
        <v>0</v>
      </c>
      <c r="F40" s="88">
        <v>2629</v>
      </c>
      <c r="H40" s="90">
        <v>2629</v>
      </c>
      <c r="I40" s="90">
        <v>365.99</v>
      </c>
      <c r="J40" s="90">
        <v>0</v>
      </c>
      <c r="K40" s="91">
        <f t="shared" si="0"/>
        <v>2263.0100000000002</v>
      </c>
    </row>
    <row r="41" spans="2:11" x14ac:dyDescent="0.25">
      <c r="B41" s="169" t="s">
        <v>51</v>
      </c>
      <c r="C41" s="88">
        <v>4065</v>
      </c>
      <c r="D41" s="88"/>
      <c r="E41" s="88">
        <v>470</v>
      </c>
      <c r="F41" s="88">
        <v>4065</v>
      </c>
      <c r="H41" s="90">
        <v>4970</v>
      </c>
      <c r="I41" s="90">
        <v>2330.67</v>
      </c>
      <c r="J41" s="90">
        <v>200</v>
      </c>
      <c r="K41" s="91">
        <f t="shared" si="0"/>
        <v>2439.33</v>
      </c>
    </row>
    <row r="42" spans="2:11" x14ac:dyDescent="0.25">
      <c r="B42" s="169" t="s">
        <v>52</v>
      </c>
      <c r="C42" s="88">
        <v>2310</v>
      </c>
      <c r="D42" s="88"/>
      <c r="E42" s="88">
        <v>0</v>
      </c>
      <c r="F42" s="88">
        <v>2310</v>
      </c>
      <c r="H42" s="90">
        <v>2310</v>
      </c>
      <c r="I42" s="90">
        <v>0</v>
      </c>
      <c r="J42" s="100">
        <v>0</v>
      </c>
      <c r="K42" s="91">
        <f t="shared" si="0"/>
        <v>2310</v>
      </c>
    </row>
    <row r="43" spans="2:11" x14ac:dyDescent="0.25">
      <c r="B43" s="169" t="s">
        <v>53</v>
      </c>
      <c r="C43" s="88">
        <v>2870</v>
      </c>
      <c r="D43" s="88"/>
      <c r="E43" s="88">
        <v>800</v>
      </c>
      <c r="F43" s="88">
        <v>2870</v>
      </c>
      <c r="H43" s="90">
        <v>3215.64</v>
      </c>
      <c r="I43" s="90">
        <v>1588.08</v>
      </c>
      <c r="J43" s="100">
        <v>0</v>
      </c>
      <c r="K43" s="91">
        <f t="shared" si="0"/>
        <v>1627.56</v>
      </c>
    </row>
    <row r="44" spans="2:11" x14ac:dyDescent="0.25">
      <c r="B44" s="169" t="s">
        <v>185</v>
      </c>
      <c r="C44" s="88">
        <v>2698</v>
      </c>
      <c r="D44" s="88"/>
      <c r="E44" s="88">
        <v>0</v>
      </c>
      <c r="F44" s="88">
        <v>2698</v>
      </c>
      <c r="H44" s="90">
        <v>2698</v>
      </c>
      <c r="I44" s="90">
        <v>1065.32</v>
      </c>
      <c r="J44" s="100">
        <v>0</v>
      </c>
      <c r="K44" s="91">
        <f t="shared" si="0"/>
        <v>1632.68</v>
      </c>
    </row>
    <row r="45" spans="2:11" x14ac:dyDescent="0.25">
      <c r="B45" s="169" t="s">
        <v>265</v>
      </c>
      <c r="C45" s="88">
        <v>4351</v>
      </c>
      <c r="D45" s="88"/>
      <c r="E45" s="88">
        <v>2050</v>
      </c>
      <c r="F45" s="88">
        <v>4351</v>
      </c>
      <c r="H45" s="90">
        <v>10478.950000000001</v>
      </c>
      <c r="I45" s="90">
        <v>8502.41</v>
      </c>
      <c r="J45" s="100">
        <v>1000</v>
      </c>
      <c r="K45" s="91">
        <f t="shared" si="0"/>
        <v>976.54000000000087</v>
      </c>
    </row>
    <row r="46" spans="2:11" x14ac:dyDescent="0.25">
      <c r="B46" s="169" t="s">
        <v>170</v>
      </c>
      <c r="C46" s="88">
        <v>3716</v>
      </c>
      <c r="D46" s="88"/>
      <c r="E46" s="88">
        <v>0</v>
      </c>
      <c r="F46" s="88">
        <v>3716</v>
      </c>
      <c r="H46" s="90">
        <v>4082.8</v>
      </c>
      <c r="I46" s="90">
        <v>1087.25</v>
      </c>
      <c r="J46" s="100">
        <v>0</v>
      </c>
      <c r="K46" s="91">
        <f t="shared" si="0"/>
        <v>2995.55</v>
      </c>
    </row>
    <row r="47" spans="2:11" x14ac:dyDescent="0.25">
      <c r="B47" s="169" t="s">
        <v>171</v>
      </c>
      <c r="C47" s="88">
        <v>2777</v>
      </c>
      <c r="D47" s="88"/>
      <c r="E47" s="88">
        <v>600</v>
      </c>
      <c r="F47" s="88">
        <v>2777</v>
      </c>
      <c r="H47" s="90">
        <v>3132.64</v>
      </c>
      <c r="I47" s="90">
        <v>3444.16</v>
      </c>
      <c r="J47" s="100">
        <v>0</v>
      </c>
      <c r="K47" s="91">
        <f t="shared" si="0"/>
        <v>-311.52</v>
      </c>
    </row>
    <row r="48" spans="2:11" x14ac:dyDescent="0.25">
      <c r="B48" s="169" t="s">
        <v>172</v>
      </c>
      <c r="C48" s="88">
        <v>4299</v>
      </c>
      <c r="D48" s="88">
        <v>300</v>
      </c>
      <c r="E48" s="88">
        <v>1155</v>
      </c>
      <c r="F48" s="15">
        <f>SUM(C48:D48)</f>
        <v>4599</v>
      </c>
      <c r="H48" s="90">
        <v>5439</v>
      </c>
      <c r="I48" s="90">
        <v>4398.37</v>
      </c>
      <c r="J48" s="100">
        <v>1927</v>
      </c>
      <c r="K48" s="91">
        <f t="shared" si="0"/>
        <v>-886.36999999999989</v>
      </c>
    </row>
    <row r="49" spans="2:11" x14ac:dyDescent="0.25">
      <c r="B49" s="169" t="s">
        <v>54</v>
      </c>
      <c r="C49" s="88">
        <v>2733</v>
      </c>
      <c r="D49" s="88"/>
      <c r="E49" s="88">
        <v>0</v>
      </c>
      <c r="F49" s="88">
        <v>2733</v>
      </c>
      <c r="H49" s="90">
        <v>2932.61</v>
      </c>
      <c r="I49" s="90">
        <v>819.2</v>
      </c>
      <c r="J49" s="100">
        <v>600</v>
      </c>
      <c r="K49" s="91">
        <f t="shared" si="0"/>
        <v>1513.4099999999999</v>
      </c>
    </row>
    <row r="50" spans="2:11" x14ac:dyDescent="0.25">
      <c r="B50" s="169" t="s">
        <v>173</v>
      </c>
      <c r="C50" s="88">
        <v>4290</v>
      </c>
      <c r="D50" s="88"/>
      <c r="E50" s="88">
        <v>600</v>
      </c>
      <c r="F50" s="88">
        <v>4290</v>
      </c>
      <c r="H50" s="90">
        <v>4643.47</v>
      </c>
      <c r="I50" s="90">
        <v>3359.65</v>
      </c>
      <c r="J50" s="100">
        <v>1569</v>
      </c>
      <c r="K50" s="91">
        <f t="shared" si="0"/>
        <v>-285.17999999999984</v>
      </c>
    </row>
    <row r="51" spans="2:11" x14ac:dyDescent="0.25">
      <c r="B51" s="169" t="s">
        <v>266</v>
      </c>
      <c r="C51" s="88">
        <v>2625</v>
      </c>
      <c r="D51" s="88">
        <v>40.14</v>
      </c>
      <c r="E51" s="88">
        <v>0</v>
      </c>
      <c r="F51" s="15">
        <f>SUM(C51:D51)</f>
        <v>2665.14</v>
      </c>
      <c r="H51" s="90">
        <v>3264.75</v>
      </c>
      <c r="I51" s="90">
        <v>1246.1600000000001</v>
      </c>
      <c r="J51" s="100">
        <v>0</v>
      </c>
      <c r="K51" s="91">
        <f t="shared" si="0"/>
        <v>2018.59</v>
      </c>
    </row>
    <row r="52" spans="2:11" x14ac:dyDescent="0.25">
      <c r="B52" s="169" t="s">
        <v>174</v>
      </c>
      <c r="C52" s="88">
        <v>6090</v>
      </c>
      <c r="D52" s="88"/>
      <c r="E52" s="88">
        <v>9160</v>
      </c>
      <c r="F52" s="88">
        <v>6090</v>
      </c>
      <c r="H52" s="90">
        <v>15652.49</v>
      </c>
      <c r="I52" s="90">
        <v>12917.39</v>
      </c>
      <c r="J52" s="100">
        <v>2300</v>
      </c>
      <c r="K52" s="91">
        <f t="shared" si="0"/>
        <v>435.10000000000036</v>
      </c>
    </row>
    <row r="53" spans="2:11" x14ac:dyDescent="0.25">
      <c r="B53" s="169" t="s">
        <v>55</v>
      </c>
      <c r="C53" s="88">
        <v>4413</v>
      </c>
      <c r="D53" s="88"/>
      <c r="E53" s="88">
        <v>0</v>
      </c>
      <c r="F53" s="88">
        <v>4413</v>
      </c>
      <c r="H53" s="90">
        <v>5117.97</v>
      </c>
      <c r="I53" s="90">
        <v>3568.41</v>
      </c>
      <c r="J53" s="100">
        <v>0</v>
      </c>
      <c r="K53" s="91">
        <f t="shared" si="0"/>
        <v>1549.5600000000004</v>
      </c>
    </row>
    <row r="54" spans="2:11" s="13" customFormat="1" x14ac:dyDescent="0.25">
      <c r="B54" s="169"/>
      <c r="C54" s="88"/>
      <c r="D54" s="88"/>
      <c r="E54" s="88"/>
      <c r="F54" s="88"/>
      <c r="H54" s="90"/>
      <c r="I54" s="90"/>
      <c r="J54" s="100"/>
      <c r="K54" s="91"/>
    </row>
    <row r="55" spans="2:11" s="13" customFormat="1" x14ac:dyDescent="0.25">
      <c r="B55" s="169" t="s">
        <v>323</v>
      </c>
      <c r="C55" s="88"/>
      <c r="D55" s="88">
        <v>11850</v>
      </c>
      <c r="E55" s="88"/>
      <c r="F55" s="88">
        <v>11850</v>
      </c>
      <c r="H55" s="90">
        <v>12345.27</v>
      </c>
      <c r="I55" s="90">
        <v>12345.27</v>
      </c>
      <c r="J55" s="100"/>
      <c r="K55" s="91">
        <f>SUM(I55-H55)</f>
        <v>0</v>
      </c>
    </row>
    <row r="56" spans="2:11" s="13" customFormat="1" x14ac:dyDescent="0.25">
      <c r="B56" s="169"/>
      <c r="C56" s="88"/>
      <c r="D56" s="88"/>
      <c r="E56" s="88"/>
      <c r="F56" s="88"/>
      <c r="H56" s="90"/>
      <c r="I56" s="90"/>
      <c r="J56" s="100"/>
      <c r="K56" s="91"/>
    </row>
    <row r="57" spans="2:11" s="2" customFormat="1" x14ac:dyDescent="0.25">
      <c r="B57" s="18" t="s">
        <v>175</v>
      </c>
      <c r="C57" s="19">
        <f>SUM(C5:C53)</f>
        <v>224100</v>
      </c>
      <c r="D57" s="19">
        <f>SUM(D5:D56)</f>
        <v>29593.219999999998</v>
      </c>
      <c r="E57" s="19"/>
      <c r="F57" s="21">
        <f>SUM(F5:F56)</f>
        <v>253693.22</v>
      </c>
      <c r="H57" s="101">
        <f>SUM(H5:H56)</f>
        <v>420353.46000000008</v>
      </c>
      <c r="I57" s="101">
        <f>SUM(I5:I56)</f>
        <v>300534.78000000003</v>
      </c>
      <c r="J57" s="102">
        <f>SUM(J5:J53)</f>
        <v>48536.07</v>
      </c>
      <c r="K57" s="102">
        <f>SUM(K5:K53)</f>
        <v>73282.61000000003</v>
      </c>
    </row>
    <row r="58" spans="2:11" ht="34.5" customHeight="1" x14ac:dyDescent="0.25">
      <c r="B58" s="87"/>
      <c r="C58" s="33"/>
      <c r="D58" s="87"/>
      <c r="E58" s="87"/>
      <c r="F58" s="13"/>
    </row>
    <row r="59" spans="2:11" x14ac:dyDescent="0.25">
      <c r="B59" s="210"/>
      <c r="C59" s="210"/>
      <c r="D59" s="210"/>
      <c r="E59" s="210"/>
      <c r="F59" s="210"/>
    </row>
    <row r="60" spans="2:11" ht="84.75" customHeight="1" x14ac:dyDescent="0.25">
      <c r="B60" s="209"/>
      <c r="C60" s="209"/>
      <c r="D60" s="209"/>
      <c r="E60" s="209"/>
      <c r="F60" s="209"/>
      <c r="H60" s="41">
        <f>H57-F57</f>
        <v>166660.24000000008</v>
      </c>
    </row>
    <row r="61" spans="2:11" ht="60" customHeight="1" x14ac:dyDescent="0.25">
      <c r="B61" s="86"/>
      <c r="C61" s="32"/>
      <c r="D61" s="86"/>
      <c r="E61" s="92"/>
      <c r="F61" s="14"/>
    </row>
  </sheetData>
  <mergeCells count="4">
    <mergeCell ref="I3:K3"/>
    <mergeCell ref="B60:F60"/>
    <mergeCell ref="B59:F59"/>
    <mergeCell ref="C3:F3"/>
  </mergeCells>
  <pageMargins left="0.7" right="0.7" top="0.78740157499999996" bottom="0.78740157499999996" header="0.3" footer="0.3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0320-FD0C-4640-9B20-7A7600294096}">
  <dimension ref="B3:M25"/>
  <sheetViews>
    <sheetView workbookViewId="0">
      <selection activeCell="B37" sqref="B37"/>
    </sheetView>
  </sheetViews>
  <sheetFormatPr baseColWidth="10" defaultRowHeight="15" x14ac:dyDescent="0.25"/>
  <cols>
    <col min="2" max="2" width="27.7109375" customWidth="1"/>
    <col min="3" max="3" width="15.85546875" customWidth="1"/>
    <col min="6" max="6" width="15.5703125" customWidth="1"/>
    <col min="7" max="7" width="22.7109375" customWidth="1"/>
    <col min="8" max="8" width="30.7109375" customWidth="1"/>
    <col min="9" max="9" width="30.85546875" customWidth="1"/>
    <col min="12" max="12" width="14" customWidth="1"/>
    <col min="13" max="13" width="20.85546875" customWidth="1"/>
  </cols>
  <sheetData>
    <row r="3" spans="2:8" x14ac:dyDescent="0.25">
      <c r="B3" s="211" t="s">
        <v>277</v>
      </c>
      <c r="C3" s="211"/>
      <c r="D3" s="211"/>
      <c r="E3" s="211"/>
      <c r="F3" s="211"/>
      <c r="G3" s="13"/>
    </row>
    <row r="4" spans="2:8" ht="15.75" thickBot="1" x14ac:dyDescent="0.3">
      <c r="B4" s="13"/>
      <c r="C4" s="104"/>
      <c r="D4" s="13"/>
      <c r="E4" s="13"/>
      <c r="F4" s="13"/>
      <c r="G4" s="13"/>
    </row>
    <row r="5" spans="2:8" ht="15.75" thickBot="1" x14ac:dyDescent="0.3">
      <c r="B5" s="108"/>
      <c r="C5" s="109" t="s">
        <v>299</v>
      </c>
      <c r="D5" s="110" t="s">
        <v>300</v>
      </c>
      <c r="E5" s="110" t="s">
        <v>301</v>
      </c>
      <c r="F5" s="110" t="s">
        <v>278</v>
      </c>
      <c r="G5" s="110" t="s">
        <v>302</v>
      </c>
      <c r="H5" s="135" t="s">
        <v>315</v>
      </c>
    </row>
    <row r="6" spans="2:8" x14ac:dyDescent="0.25">
      <c r="B6" s="108" t="s">
        <v>279</v>
      </c>
      <c r="C6" s="109">
        <v>3</v>
      </c>
      <c r="D6" s="110"/>
      <c r="E6" s="110"/>
      <c r="F6" s="110"/>
      <c r="G6" s="121"/>
      <c r="H6" s="134"/>
    </row>
    <row r="7" spans="2:8" x14ac:dyDescent="0.25">
      <c r="B7" s="113" t="s">
        <v>280</v>
      </c>
      <c r="C7" s="114">
        <v>1</v>
      </c>
      <c r="D7" s="114" t="s">
        <v>296</v>
      </c>
      <c r="E7" s="114">
        <v>2</v>
      </c>
      <c r="F7" s="114">
        <v>8.08</v>
      </c>
      <c r="G7" s="122">
        <v>35</v>
      </c>
      <c r="H7" s="131">
        <v>9109.7819126975446</v>
      </c>
    </row>
    <row r="8" spans="2:8" x14ac:dyDescent="0.25">
      <c r="B8" s="113" t="s">
        <v>281</v>
      </c>
      <c r="C8" s="114">
        <v>1</v>
      </c>
      <c r="D8" s="114" t="s">
        <v>282</v>
      </c>
      <c r="E8" s="114">
        <v>6</v>
      </c>
      <c r="F8" s="114">
        <v>19.75</v>
      </c>
      <c r="G8" s="123">
        <v>50</v>
      </c>
      <c r="H8" s="131">
        <v>49926.373983777703</v>
      </c>
    </row>
    <row r="9" spans="2:8" x14ac:dyDescent="0.25">
      <c r="B9" s="113" t="s">
        <v>283</v>
      </c>
      <c r="C9" s="114">
        <v>1</v>
      </c>
      <c r="D9" s="114" t="s">
        <v>296</v>
      </c>
      <c r="E9" s="114">
        <v>1</v>
      </c>
      <c r="F9" s="115">
        <v>7.5</v>
      </c>
      <c r="G9" s="124">
        <v>19</v>
      </c>
      <c r="H9" s="131">
        <v>8345.709377359035</v>
      </c>
    </row>
    <row r="10" spans="2:8" ht="16.5" thickBot="1" x14ac:dyDescent="0.3">
      <c r="B10" s="125"/>
      <c r="C10" s="126"/>
      <c r="D10" s="127"/>
      <c r="E10" s="127"/>
      <c r="F10" s="127"/>
      <c r="G10" s="128"/>
      <c r="H10" s="132" t="s">
        <v>303</v>
      </c>
    </row>
    <row r="11" spans="2:8" x14ac:dyDescent="0.25">
      <c r="B11" s="108" t="s">
        <v>285</v>
      </c>
      <c r="C11" s="109">
        <v>1</v>
      </c>
      <c r="D11" s="129"/>
      <c r="E11" s="129"/>
      <c r="F11" s="129"/>
      <c r="G11" s="130"/>
      <c r="H11" s="134" t="s">
        <v>303</v>
      </c>
    </row>
    <row r="12" spans="2:8" x14ac:dyDescent="0.25">
      <c r="B12" s="113" t="s">
        <v>286</v>
      </c>
      <c r="C12" s="114">
        <v>1</v>
      </c>
      <c r="D12" s="114" t="s">
        <v>297</v>
      </c>
      <c r="E12" s="114">
        <v>3</v>
      </c>
      <c r="F12" s="114">
        <v>9.1999999999999993</v>
      </c>
      <c r="G12" s="123">
        <v>23</v>
      </c>
      <c r="H12" s="131">
        <v>11283.037053828415</v>
      </c>
    </row>
    <row r="13" spans="2:8" ht="16.5" thickBot="1" x14ac:dyDescent="0.3">
      <c r="B13" s="125"/>
      <c r="C13" s="126"/>
      <c r="D13" s="127"/>
      <c r="E13" s="127"/>
      <c r="F13" s="127"/>
      <c r="G13" s="128"/>
      <c r="H13" s="132" t="s">
        <v>303</v>
      </c>
    </row>
    <row r="14" spans="2:8" x14ac:dyDescent="0.25">
      <c r="B14" s="108" t="s">
        <v>287</v>
      </c>
      <c r="C14" s="109">
        <v>2</v>
      </c>
      <c r="D14" s="129"/>
      <c r="E14" s="129"/>
      <c r="F14" s="129"/>
      <c r="G14" s="130"/>
      <c r="H14" s="134" t="s">
        <v>303</v>
      </c>
    </row>
    <row r="15" spans="2:8" x14ac:dyDescent="0.25">
      <c r="B15" s="113" t="s">
        <v>288</v>
      </c>
      <c r="C15" s="114">
        <v>1</v>
      </c>
      <c r="D15" s="117" t="s">
        <v>298</v>
      </c>
      <c r="E15" s="114">
        <v>1</v>
      </c>
      <c r="F15" s="114">
        <v>6.92</v>
      </c>
      <c r="G15" s="123">
        <v>25</v>
      </c>
      <c r="H15" s="131">
        <v>9548.7428685452942</v>
      </c>
    </row>
    <row r="16" spans="2:8" x14ac:dyDescent="0.25">
      <c r="B16" s="113" t="s">
        <v>289</v>
      </c>
      <c r="C16" s="114">
        <v>1</v>
      </c>
      <c r="D16" s="114" t="s">
        <v>290</v>
      </c>
      <c r="E16" s="117">
        <v>4</v>
      </c>
      <c r="F16" s="114">
        <v>10</v>
      </c>
      <c r="G16" s="123">
        <v>25</v>
      </c>
      <c r="H16" s="131">
        <v>16158.649198825116</v>
      </c>
    </row>
    <row r="17" spans="2:13" ht="16.5" thickBot="1" x14ac:dyDescent="0.3">
      <c r="B17" s="125"/>
      <c r="C17" s="126"/>
      <c r="D17" s="127"/>
      <c r="E17" s="127"/>
      <c r="F17" s="127"/>
      <c r="G17" s="128"/>
      <c r="H17" s="132"/>
    </row>
    <row r="18" spans="2:13" x14ac:dyDescent="0.25">
      <c r="B18" s="108" t="s">
        <v>291</v>
      </c>
      <c r="C18" s="109">
        <v>1</v>
      </c>
      <c r="D18" s="129"/>
      <c r="E18" s="129"/>
      <c r="F18" s="129"/>
      <c r="G18" s="130"/>
      <c r="H18" s="134" t="s">
        <v>303</v>
      </c>
    </row>
    <row r="19" spans="2:13" x14ac:dyDescent="0.25">
      <c r="B19" s="113" t="s">
        <v>292</v>
      </c>
      <c r="C19" s="114">
        <v>1</v>
      </c>
      <c r="D19" s="114" t="s">
        <v>284</v>
      </c>
      <c r="E19" s="114">
        <v>3</v>
      </c>
      <c r="F19" s="115">
        <v>11.75</v>
      </c>
      <c r="G19" s="124">
        <v>30</v>
      </c>
      <c r="H19" s="131">
        <v>17228.710436877998</v>
      </c>
    </row>
    <row r="20" spans="2:13" ht="16.5" thickBot="1" x14ac:dyDescent="0.3">
      <c r="B20" s="125"/>
      <c r="C20" s="126"/>
      <c r="D20" s="127"/>
      <c r="E20" s="127"/>
      <c r="F20" s="127"/>
      <c r="G20" s="128"/>
      <c r="H20" s="132" t="s">
        <v>303</v>
      </c>
    </row>
    <row r="21" spans="2:13" x14ac:dyDescent="0.25">
      <c r="B21" s="111" t="s">
        <v>94</v>
      </c>
      <c r="C21" s="112">
        <v>2</v>
      </c>
      <c r="D21" s="116"/>
      <c r="E21" s="116"/>
      <c r="F21" s="116"/>
      <c r="G21" s="116"/>
      <c r="H21" s="134"/>
    </row>
    <row r="22" spans="2:13" x14ac:dyDescent="0.25">
      <c r="B22" s="113" t="s">
        <v>293</v>
      </c>
      <c r="C22" s="114">
        <v>1</v>
      </c>
      <c r="D22" s="114" t="s">
        <v>294</v>
      </c>
      <c r="E22" s="114">
        <v>3</v>
      </c>
      <c r="F22" s="114">
        <v>10.5</v>
      </c>
      <c r="G22" s="114">
        <v>27</v>
      </c>
      <c r="H22" s="133">
        <v>11426.960981633831</v>
      </c>
    </row>
    <row r="23" spans="2:13" ht="15.75" thickBot="1" x14ac:dyDescent="0.3">
      <c r="B23" s="118" t="s">
        <v>295</v>
      </c>
      <c r="C23" s="119">
        <v>1</v>
      </c>
      <c r="D23" s="119" t="s">
        <v>290</v>
      </c>
      <c r="E23" s="119">
        <v>2</v>
      </c>
      <c r="F23" s="119">
        <v>9.67</v>
      </c>
      <c r="G23" s="120">
        <v>24</v>
      </c>
      <c r="H23" s="132">
        <v>13364.390336289038</v>
      </c>
      <c r="I23" s="105"/>
      <c r="J23" s="106"/>
      <c r="K23" s="106"/>
      <c r="L23" s="106"/>
      <c r="M23" s="107"/>
    </row>
    <row r="24" spans="2:13" x14ac:dyDescent="0.25">
      <c r="H24" s="105"/>
      <c r="I24" s="105"/>
      <c r="J24" s="106"/>
      <c r="K24" s="106"/>
      <c r="L24" s="106"/>
      <c r="M24" s="107"/>
    </row>
    <row r="25" spans="2:13" x14ac:dyDescent="0.25">
      <c r="G25" t="s">
        <v>304</v>
      </c>
      <c r="H25" s="103">
        <f>SUM(H6:H23)</f>
        <v>146392.35614983397</v>
      </c>
      <c r="I25" t="s">
        <v>305</v>
      </c>
    </row>
  </sheetData>
  <mergeCells count="1">
    <mergeCell ref="B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AbschlussZentral</vt:lpstr>
      <vt:lpstr>Abschluss FS</vt:lpstr>
      <vt:lpstr>Stellenplan</vt:lpstr>
      <vt:lpstr>AbschlussZentral!Druckbereich</vt:lpstr>
      <vt:lpstr>AbschlussZentral!Print_Area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finanzreferat</dc:creator>
  <cp:lastModifiedBy>stura</cp:lastModifiedBy>
  <cp:lastPrinted>2025-05-05T15:50:15Z</cp:lastPrinted>
  <dcterms:created xsi:type="dcterms:W3CDTF">2018-09-23T19:33:37Z</dcterms:created>
  <dcterms:modified xsi:type="dcterms:W3CDTF">2025-05-05T15:50:38Z</dcterms:modified>
</cp:coreProperties>
</file>