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\\karen\profiles\t.argiantzis\Desktop\"/>
    </mc:Choice>
  </mc:AlternateContent>
  <xr:revisionPtr revIDLastSave="0" documentId="13_ncr:1_{78E55D6B-2E2A-458F-B1AF-0015934DE590}" xr6:coauthVersionLast="36" xr6:coauthVersionMax="36" xr10:uidLastSave="{00000000-0000-0000-0000-000000000000}"/>
  <bookViews>
    <workbookView xWindow="0" yWindow="0" windowWidth="7650" windowHeight="4200" activeTab="2" xr2:uid="{00000000-000D-0000-FFFF-FFFF00000000}"/>
  </bookViews>
  <sheets>
    <sheet name="AbschlussZentral" sheetId="2" r:id="rId1"/>
    <sheet name="Abschluss FS" sheetId="1" r:id="rId2"/>
    <sheet name="Stellenplan" sheetId="4" r:id="rId3"/>
  </sheets>
  <definedNames>
    <definedName name="_xlnm.Print_Area" localSheetId="0">AbschlussZentral!$A$1:$I$205</definedName>
    <definedName name="Print_Area" localSheetId="0">AbschlussZentral!$A$1:$D$206</definedName>
  </definedNames>
  <calcPr calcId="191029"/>
</workbook>
</file>

<file path=xl/calcChain.xml><?xml version="1.0" encoding="utf-8"?>
<calcChain xmlns="http://schemas.openxmlformats.org/spreadsheetml/2006/main">
  <c r="F207" i="2" l="1"/>
  <c r="F77" i="2"/>
  <c r="D201" i="2" l="1"/>
  <c r="C199" i="2"/>
  <c r="K55" i="1"/>
  <c r="G26" i="2" l="1"/>
  <c r="E50" i="2" l="1"/>
  <c r="E36" i="2"/>
  <c r="I57" i="1"/>
  <c r="H57" i="1"/>
  <c r="F57" i="1"/>
  <c r="D57" i="1"/>
  <c r="I21" i="1" l="1"/>
  <c r="E157" i="2"/>
  <c r="E142" i="2"/>
  <c r="G157" i="2" l="1"/>
  <c r="G154" i="2"/>
  <c r="G151" i="2"/>
  <c r="G150" i="2"/>
  <c r="G149" i="2"/>
  <c r="G148" i="2"/>
  <c r="G145" i="2"/>
  <c r="G143" i="2"/>
  <c r="G139" i="2"/>
  <c r="G125" i="2"/>
  <c r="G123" i="2"/>
  <c r="G118" i="2"/>
  <c r="G117" i="2"/>
  <c r="G110" i="2"/>
  <c r="G109" i="2"/>
  <c r="G108" i="2"/>
  <c r="G107" i="2"/>
  <c r="G106" i="2"/>
  <c r="G105" i="2"/>
  <c r="G104" i="2"/>
  <c r="G98" i="2"/>
  <c r="G97" i="2"/>
  <c r="G90" i="2"/>
  <c r="G89" i="2"/>
  <c r="G86" i="2"/>
  <c r="G85" i="2"/>
  <c r="G84" i="2"/>
  <c r="G197" i="2"/>
  <c r="G196" i="2"/>
  <c r="G195" i="2"/>
  <c r="G180" i="2"/>
  <c r="G178" i="2"/>
  <c r="G176" i="2"/>
  <c r="G173" i="2"/>
  <c r="G169" i="2"/>
  <c r="G167" i="2"/>
  <c r="G165" i="2"/>
  <c r="G164" i="2"/>
  <c r="G162" i="2"/>
  <c r="G131" i="2"/>
  <c r="G129" i="2"/>
  <c r="G127" i="2"/>
  <c r="G120" i="2"/>
  <c r="G112" i="2"/>
  <c r="G81" i="2"/>
  <c r="G70" i="2"/>
  <c r="G69" i="2"/>
  <c r="G68" i="2"/>
  <c r="G67" i="2"/>
  <c r="G65" i="2"/>
  <c r="G56" i="2"/>
  <c r="G46" i="2"/>
  <c r="G44" i="2"/>
  <c r="G38" i="2"/>
  <c r="G12" i="2"/>
  <c r="G8" i="2"/>
  <c r="F171" i="2" l="1"/>
  <c r="E116" i="2"/>
  <c r="G116" i="2" s="1"/>
  <c r="E144" i="2"/>
  <c r="G144" i="2" s="1"/>
  <c r="G171" i="2" l="1"/>
  <c r="I32" i="1"/>
  <c r="E193" i="2"/>
  <c r="G193" i="2" s="1"/>
  <c r="E198" i="2"/>
  <c r="G198" i="2" s="1"/>
  <c r="E194" i="2"/>
  <c r="G194" i="2" s="1"/>
  <c r="G142" i="2"/>
  <c r="E49" i="2"/>
  <c r="F175" i="2"/>
  <c r="G175" i="2" s="1"/>
  <c r="H21" i="1"/>
  <c r="F182" i="2" l="1"/>
  <c r="F48" i="2"/>
  <c r="G48" i="2" s="1"/>
  <c r="E42" i="2"/>
  <c r="F83" i="2" l="1"/>
  <c r="D16" i="2"/>
  <c r="F16" i="2"/>
  <c r="G16" i="2" s="1"/>
  <c r="E9" i="2"/>
  <c r="F201" i="2"/>
  <c r="F88" i="2"/>
  <c r="D182" i="2"/>
  <c r="F156" i="2"/>
  <c r="D156" i="2"/>
  <c r="G156" i="2" s="1"/>
  <c r="F153" i="2"/>
  <c r="D153" i="2"/>
  <c r="F147" i="2"/>
  <c r="D147" i="2"/>
  <c r="G147" i="2" s="1"/>
  <c r="F141" i="2"/>
  <c r="D141" i="2"/>
  <c r="G141" i="2" s="1"/>
  <c r="F136" i="2"/>
  <c r="F122" i="2"/>
  <c r="F115" i="2"/>
  <c r="D115" i="2"/>
  <c r="G115" i="2" s="1"/>
  <c r="F103" i="2"/>
  <c r="D103" i="2"/>
  <c r="G103" i="2" s="1"/>
  <c r="D96" i="2"/>
  <c r="F96" i="2"/>
  <c r="F92" i="2"/>
  <c r="G92" i="2" s="1"/>
  <c r="D88" i="2"/>
  <c r="D83" i="2"/>
  <c r="G83" i="2" s="1"/>
  <c r="C66" i="2"/>
  <c r="G66" i="2" s="1"/>
  <c r="C71" i="2"/>
  <c r="G71" i="2" s="1"/>
  <c r="F58" i="2"/>
  <c r="D58" i="2"/>
  <c r="D62" i="2" s="1"/>
  <c r="F54" i="2"/>
  <c r="G96" i="2" l="1"/>
  <c r="G182" i="2"/>
  <c r="G201" i="2"/>
  <c r="G88" i="2"/>
  <c r="F62" i="2"/>
  <c r="G62" i="2" s="1"/>
  <c r="G54" i="2"/>
  <c r="G58" i="2"/>
  <c r="G153" i="2"/>
  <c r="F159" i="2"/>
  <c r="F133" i="2"/>
  <c r="D100" i="2"/>
  <c r="F100" i="2"/>
  <c r="F204" i="2" l="1"/>
  <c r="F205" i="2"/>
  <c r="G100" i="2"/>
  <c r="D40" i="2"/>
  <c r="F40" i="2"/>
  <c r="G40" i="2" s="1"/>
  <c r="F34" i="2"/>
  <c r="D34" i="2"/>
  <c r="F30" i="2"/>
  <c r="D30" i="2"/>
  <c r="D26" i="2"/>
  <c r="D23" i="2"/>
  <c r="D19" i="2"/>
  <c r="D51" i="2" s="1"/>
  <c r="D76" i="2" s="1"/>
  <c r="F26" i="2"/>
  <c r="F23" i="2"/>
  <c r="F19" i="2"/>
  <c r="G30" i="2" l="1"/>
  <c r="G34" i="2"/>
  <c r="G19" i="2"/>
  <c r="F51" i="2"/>
  <c r="G51" i="2" s="1"/>
  <c r="G23" i="2"/>
  <c r="H25" i="4"/>
  <c r="E185" i="2" l="1"/>
  <c r="F190" i="2" s="1"/>
  <c r="E14" i="2" l="1"/>
  <c r="E13" i="2"/>
  <c r="J57" i="1" l="1"/>
  <c r="K30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9" i="1"/>
  <c r="K31" i="1"/>
  <c r="K32" i="1"/>
  <c r="K33" i="1"/>
  <c r="K34" i="1"/>
  <c r="K35" i="1"/>
  <c r="K36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" i="1"/>
  <c r="F73" i="2" l="1"/>
  <c r="K57" i="1" l="1"/>
  <c r="F12" i="1" l="1"/>
  <c r="F16" i="1"/>
  <c r="F21" i="1"/>
  <c r="F23" i="1"/>
  <c r="F24" i="1"/>
  <c r="F29" i="1"/>
  <c r="F36" i="1"/>
  <c r="F35" i="1"/>
  <c r="F39" i="1"/>
  <c r="F48" i="1"/>
  <c r="F51" i="1"/>
  <c r="C57" i="1" l="1"/>
  <c r="D190" i="2" l="1"/>
  <c r="G190" i="2" s="1"/>
  <c r="C124" i="2"/>
  <c r="C14" i="2"/>
  <c r="C138" i="2" s="1"/>
  <c r="G138" i="2" s="1"/>
  <c r="C13" i="2"/>
  <c r="C10" i="2"/>
  <c r="C137" i="2" s="1"/>
  <c r="C9" i="2"/>
  <c r="D136" i="2" l="1"/>
  <c r="G137" i="2"/>
  <c r="D122" i="2"/>
  <c r="G124" i="2"/>
  <c r="D73" i="2"/>
  <c r="G73" i="2" l="1"/>
  <c r="D133" i="2"/>
  <c r="G133" i="2" s="1"/>
  <c r="G122" i="2"/>
  <c r="D159" i="2"/>
  <c r="G136" i="2"/>
  <c r="D77" i="2"/>
  <c r="G77" i="2" s="1"/>
  <c r="G159" i="2" l="1"/>
  <c r="D205" i="2"/>
  <c r="G205" i="2" s="1"/>
  <c r="D204" i="2"/>
  <c r="G204" i="2" s="1"/>
  <c r="F76" i="2"/>
  <c r="G76" i="2" s="1"/>
</calcChain>
</file>

<file path=xl/sharedStrings.xml><?xml version="1.0" encoding="utf-8"?>
<sst xmlns="http://schemas.openxmlformats.org/spreadsheetml/2006/main" count="377" uniqueCount="338">
  <si>
    <t>1</t>
  </si>
  <si>
    <t>2</t>
  </si>
  <si>
    <t>4</t>
  </si>
  <si>
    <t>Personal</t>
  </si>
  <si>
    <t>Angestelltes Personal</t>
  </si>
  <si>
    <t>421</t>
  </si>
  <si>
    <t>AE Vorsitz</t>
  </si>
  <si>
    <t>AE Protokollführung StuRa</t>
  </si>
  <si>
    <t>AE Referate</t>
  </si>
  <si>
    <t>5</t>
  </si>
  <si>
    <t>6</t>
  </si>
  <si>
    <t xml:space="preserve">7 </t>
  </si>
  <si>
    <t>8</t>
  </si>
  <si>
    <t>Fachschaften</t>
  </si>
  <si>
    <t>Unterstützung studentischer Projekte und Gruppen</t>
  </si>
  <si>
    <t>Pflege der überregionalen und internationalen Studierendenbeziehungen</t>
  </si>
  <si>
    <t>Soziale Belange der Studierendenschaft</t>
  </si>
  <si>
    <t>Unterstützung geflüchteter Studierender in wirtschaftlicher Notlage</t>
  </si>
  <si>
    <t>Notlagenstipendium</t>
  </si>
  <si>
    <t>Einnahmen</t>
  </si>
  <si>
    <t>911</t>
  </si>
  <si>
    <t>RNV-Umlage</t>
  </si>
  <si>
    <t>912</t>
  </si>
  <si>
    <t>Campusrad-Umlage</t>
  </si>
  <si>
    <t>Ausgaben</t>
  </si>
  <si>
    <t>913</t>
  </si>
  <si>
    <t>Autonome Referate</t>
  </si>
  <si>
    <t>Ägyptologie</t>
  </si>
  <si>
    <t>Alte Geschichte</t>
  </si>
  <si>
    <t>American Studies</t>
  </si>
  <si>
    <t>Anglistik</t>
  </si>
  <si>
    <t>Assyriologie</t>
  </si>
  <si>
    <t>Biologie</t>
  </si>
  <si>
    <t>Computerlinguistik</t>
  </si>
  <si>
    <t>Deutsch als Fremdsprache</t>
  </si>
  <si>
    <t>Erziehung und Bildung</t>
  </si>
  <si>
    <t>Ethnologie</t>
  </si>
  <si>
    <t>Geographie</t>
  </si>
  <si>
    <t>Geowissenschaften</t>
  </si>
  <si>
    <t>Germanistik</t>
  </si>
  <si>
    <t>Geschichte</t>
  </si>
  <si>
    <t>Japanologie</t>
  </si>
  <si>
    <t>Jura</t>
  </si>
  <si>
    <t>Klassische Philologie</t>
  </si>
  <si>
    <t>Mathematik</t>
  </si>
  <si>
    <t>Molekulare Biotechnologie</t>
  </si>
  <si>
    <t>Musikwissenschaft</t>
  </si>
  <si>
    <t>Ostasiatische Kunstgeschichte</t>
  </si>
  <si>
    <t>Philosophie</t>
  </si>
  <si>
    <t>Politikwissenschaft</t>
  </si>
  <si>
    <t>Psychologie</t>
  </si>
  <si>
    <t>Romanistik</t>
  </si>
  <si>
    <t>Semitistik</t>
  </si>
  <si>
    <t>Sinologie</t>
  </si>
  <si>
    <t>Transcultural Studies</t>
  </si>
  <si>
    <t>Zahnmedizin</t>
  </si>
  <si>
    <t>Projekte der VS</t>
  </si>
  <si>
    <t>Verwaltungs- und Betriebsaufwand</t>
  </si>
  <si>
    <t>Reparatur/ Instandhaltung</t>
  </si>
  <si>
    <t>Büroausstattung</t>
  </si>
  <si>
    <t>Weitere Ausstattung</t>
  </si>
  <si>
    <t>Druck- und Kopierkosten</t>
  </si>
  <si>
    <t>Putz- und Pflegematerial</t>
  </si>
  <si>
    <t>Bewirtungskosten und Lebensmittel</t>
  </si>
  <si>
    <t>511</t>
  </si>
  <si>
    <t>512</t>
  </si>
  <si>
    <t>513</t>
  </si>
  <si>
    <t>514</t>
  </si>
  <si>
    <t>515</t>
  </si>
  <si>
    <t>516</t>
  </si>
  <si>
    <t>Kommunikation</t>
  </si>
  <si>
    <t>Ausstattung Bibliothek und Archiv</t>
  </si>
  <si>
    <t>Ausgaben für Dienstleistungen</t>
  </si>
  <si>
    <t>Rechtsberatung für Studierende</t>
  </si>
  <si>
    <t>3</t>
  </si>
  <si>
    <t>422</t>
  </si>
  <si>
    <t>441</t>
  </si>
  <si>
    <t>442</t>
  </si>
  <si>
    <t>612</t>
  </si>
  <si>
    <t>613</t>
  </si>
  <si>
    <t>517</t>
  </si>
  <si>
    <t>Zuweisungen</t>
  </si>
  <si>
    <t>614</t>
  </si>
  <si>
    <t>Infrastrukturausgaben Wahlen</t>
  </si>
  <si>
    <t>520</t>
  </si>
  <si>
    <t>Zinsen</t>
  </si>
  <si>
    <t>Verwaltungseinnahmen</t>
  </si>
  <si>
    <t>210</t>
  </si>
  <si>
    <t>240</t>
  </si>
  <si>
    <t>310</t>
  </si>
  <si>
    <t>340</t>
  </si>
  <si>
    <t>710</t>
  </si>
  <si>
    <t>410</t>
  </si>
  <si>
    <t>540</t>
  </si>
  <si>
    <t>Öffentlichkeitsarbeit</t>
  </si>
  <si>
    <t>Durchlaufende Ausgaben</t>
  </si>
  <si>
    <t>91</t>
  </si>
  <si>
    <t>Durchlaufende Einnahmen</t>
  </si>
  <si>
    <t>580</t>
  </si>
  <si>
    <t>531</t>
  </si>
  <si>
    <t>Dienstreisen</t>
  </si>
  <si>
    <t>532</t>
  </si>
  <si>
    <t>451</t>
  </si>
  <si>
    <t>550</t>
  </si>
  <si>
    <t>Steuern, Abgaben</t>
  </si>
  <si>
    <t>590</t>
  </si>
  <si>
    <t>Zuweisungen und Förderung</t>
  </si>
  <si>
    <t>621</t>
  </si>
  <si>
    <t>622</t>
  </si>
  <si>
    <t>631</t>
  </si>
  <si>
    <t>632</t>
  </si>
  <si>
    <t>633</t>
  </si>
  <si>
    <t>634</t>
  </si>
  <si>
    <t>Exkursionsförderung für Härtefälle</t>
  </si>
  <si>
    <t>Versicherungen</t>
  </si>
  <si>
    <t>Transportkosten</t>
  </si>
  <si>
    <t>533</t>
  </si>
  <si>
    <t>623</t>
  </si>
  <si>
    <t>721</t>
  </si>
  <si>
    <t>722</t>
  </si>
  <si>
    <t>740</t>
  </si>
  <si>
    <t>750</t>
  </si>
  <si>
    <t>Projekte und Veranstaltungen inhaltlicher Art</t>
  </si>
  <si>
    <t>211</t>
  </si>
  <si>
    <t>Zuschüsse der Universität</t>
  </si>
  <si>
    <t>221</t>
  </si>
  <si>
    <t>222</t>
  </si>
  <si>
    <t>223</t>
  </si>
  <si>
    <t>Veranstaltungen zur Orientierung, Beratung und Vernetzung</t>
  </si>
  <si>
    <t>Einnahmen aus Abschlussveranstaltungen</t>
  </si>
  <si>
    <t>Einnahmen aus kulturellen Veranstaltungen</t>
  </si>
  <si>
    <t>250</t>
  </si>
  <si>
    <t>Einnahmen Betrieb gewerblicher Art</t>
  </si>
  <si>
    <t>290</t>
  </si>
  <si>
    <t>Sonstige Einnahmen</t>
  </si>
  <si>
    <t>914</t>
  </si>
  <si>
    <t>Titelnummer</t>
  </si>
  <si>
    <t>Bezeichnung</t>
  </si>
  <si>
    <t>93</t>
  </si>
  <si>
    <t>931</t>
  </si>
  <si>
    <t>932</t>
  </si>
  <si>
    <t>933</t>
  </si>
  <si>
    <t>934</t>
  </si>
  <si>
    <t>Einstellung in zentrale Rücklage</t>
  </si>
  <si>
    <t>Summe</t>
  </si>
  <si>
    <t>Einnahmen ohne Durchlaufposten</t>
  </si>
  <si>
    <t>Summe 4</t>
  </si>
  <si>
    <t>Summe 5</t>
  </si>
  <si>
    <t>Summe 7</t>
  </si>
  <si>
    <t>Summe 8</t>
  </si>
  <si>
    <t>Summe 6</t>
  </si>
  <si>
    <t>Summe 93</t>
  </si>
  <si>
    <t>Summe 91</t>
  </si>
  <si>
    <t>Summe 1</t>
  </si>
  <si>
    <t>Summe 2</t>
  </si>
  <si>
    <t>Summe 3</t>
  </si>
  <si>
    <t>Förderungen für Fachschaftsprojekte</t>
  </si>
  <si>
    <t>640</t>
  </si>
  <si>
    <t>560</t>
  </si>
  <si>
    <t>820</t>
  </si>
  <si>
    <t>935</t>
  </si>
  <si>
    <t>Kautionen Auszahlung</t>
  </si>
  <si>
    <t>100.01</t>
  </si>
  <si>
    <t>100.03</t>
  </si>
  <si>
    <t>915</t>
  </si>
  <si>
    <t>280</t>
  </si>
  <si>
    <t>260</t>
  </si>
  <si>
    <t>936</t>
  </si>
  <si>
    <t>Kunstgeschichte (Europäische)</t>
  </si>
  <si>
    <t>Medizin Heidelberg</t>
  </si>
  <si>
    <t>Medizin Mannheim</t>
  </si>
  <si>
    <t>Sport</t>
  </si>
  <si>
    <t>Südasienwissenschaften (Fachschaft am SAI)</t>
  </si>
  <si>
    <t>Theologie (Evangelische)</t>
  </si>
  <si>
    <t>Übersetzen und Dolmetschen (Fachschaft am IÜD)</t>
  </si>
  <si>
    <t>Volkswirtschaftslehre (VWL)</t>
  </si>
  <si>
    <t>Gesamt</t>
  </si>
  <si>
    <t>Zwischensumme</t>
  </si>
  <si>
    <t xml:space="preserve">Summe </t>
  </si>
  <si>
    <t>Gemischte Einnahmen</t>
  </si>
  <si>
    <t>551</t>
  </si>
  <si>
    <t>Dienstleistungen Wahlen</t>
  </si>
  <si>
    <t>320</t>
  </si>
  <si>
    <t>Rücklage Doktorandenkonvent</t>
  </si>
  <si>
    <t>Seminare und Fortbildungen (Teilnahme an externen)</t>
  </si>
  <si>
    <t>Verbindlichkeiten aus Vorjahresbeschlüssen</t>
  </si>
  <si>
    <t>Slavistik/Osteuropastudien</t>
  </si>
  <si>
    <t>Rückerstattung Campusrad-Umlage</t>
  </si>
  <si>
    <t>Rückerstattung RNV-Umlage</t>
  </si>
  <si>
    <t>916</t>
  </si>
  <si>
    <t>Erstattungen Umlage CampusRad</t>
  </si>
  <si>
    <t>Erstattungen Umlagen RNV</t>
  </si>
  <si>
    <t>42</t>
  </si>
  <si>
    <t>Aufwandsentschädigung Exekutiv</t>
  </si>
  <si>
    <t>Aufwandsentschädigung Legislativ</t>
  </si>
  <si>
    <t>44</t>
  </si>
  <si>
    <t>45</t>
  </si>
  <si>
    <t>Aufwandsentschädigungen Wahlen</t>
  </si>
  <si>
    <t>452</t>
  </si>
  <si>
    <t>AE Wahlen EDV</t>
  </si>
  <si>
    <t>AE Wahlen</t>
  </si>
  <si>
    <t>462</t>
  </si>
  <si>
    <t>Personalentwicklung und Schulungen</t>
  </si>
  <si>
    <t>Personalverwaltung</t>
  </si>
  <si>
    <t>46</t>
  </si>
  <si>
    <t>Personalverwaltung,- entwicklung und Schulungen</t>
  </si>
  <si>
    <t>51</t>
  </si>
  <si>
    <t>Sächlicher Verwaltungs- und Betriebsaufwand</t>
  </si>
  <si>
    <t>53</t>
  </si>
  <si>
    <t>Reise-, Teilnahme- und Transportkosten</t>
  </si>
  <si>
    <t>552</t>
  </si>
  <si>
    <t>Bankgebühren</t>
  </si>
  <si>
    <t>55</t>
  </si>
  <si>
    <t>Dienstleistungen</t>
  </si>
  <si>
    <t>Dankesgeschenke</t>
  </si>
  <si>
    <t>63</t>
  </si>
  <si>
    <t>62</t>
  </si>
  <si>
    <t>61</t>
  </si>
  <si>
    <t>Förderung von Projekten, Gruppen und Initiativen</t>
  </si>
  <si>
    <t>64</t>
  </si>
  <si>
    <t>Übergeordnete Organisationen</t>
  </si>
  <si>
    <t>65</t>
  </si>
  <si>
    <t>651</t>
  </si>
  <si>
    <t>Überregionale Vernetzungsveranstaltungen</t>
  </si>
  <si>
    <t>730</t>
  </si>
  <si>
    <t>Abschlussveranstaltungen</t>
  </si>
  <si>
    <t>Projekte und Veranstaltungen kultureller und geselliger Art</t>
  </si>
  <si>
    <t>790</t>
  </si>
  <si>
    <t>Rücklagen aus dem Vorjahr</t>
  </si>
  <si>
    <t>allgemeine Rücklagen</t>
  </si>
  <si>
    <t>Mitgliedsbeiträge zentral</t>
  </si>
  <si>
    <t>Zahlungen aus (zweckgebundenen) Rücklagen</t>
  </si>
  <si>
    <t>Entnahme aus Rücklagen</t>
  </si>
  <si>
    <t>Einstellung Rücklagen/Investitionen</t>
  </si>
  <si>
    <t>zentral (für den Umzug der VS)</t>
  </si>
  <si>
    <t>Steuereinnahmen</t>
  </si>
  <si>
    <t>Zwischenrechnung Einnahmen</t>
  </si>
  <si>
    <t>Zusagen an Gruppen und Initiativen aus dem Vorjahr</t>
  </si>
  <si>
    <t>780</t>
  </si>
  <si>
    <t>Spenden, Zuschüsse Dritter gesamt</t>
  </si>
  <si>
    <t>Zweckgebundene Rücklagen aus dem Vorjahr</t>
  </si>
  <si>
    <t>Betrieb gewerblicher Art (früher 750)</t>
  </si>
  <si>
    <r>
      <t xml:space="preserve">Einnahmeposten für ISIC-Karten </t>
    </r>
    <r>
      <rPr>
        <b/>
        <sz val="11"/>
        <color theme="1"/>
        <rFont val="Calibri"/>
        <family val="2"/>
        <scheme val="minor"/>
      </rPr>
      <t>ENTFÄLLT</t>
    </r>
  </si>
  <si>
    <r>
      <t xml:space="preserve">Corona-Notfallfonds </t>
    </r>
    <r>
      <rPr>
        <b/>
        <sz val="11"/>
        <color theme="1"/>
        <rFont val="Calibri"/>
        <family val="2"/>
        <scheme val="minor"/>
      </rPr>
      <t>ENTFÄLLT</t>
    </r>
  </si>
  <si>
    <t>AE Präsidium</t>
  </si>
  <si>
    <t>Theater-Umlage</t>
  </si>
  <si>
    <t>917</t>
  </si>
  <si>
    <t>Kautionen</t>
  </si>
  <si>
    <t>Durchlaufende Ausgaben (entspricht 91)</t>
  </si>
  <si>
    <t>Bewirtungskosten und Lebensmittel (intern)</t>
  </si>
  <si>
    <t>(2023: ausgehend von 3500 Promotionsstudierenden)</t>
  </si>
  <si>
    <t>(2023: ausgehend von den neuen höhren Sätzen, sonst 32.340 Euro)</t>
  </si>
  <si>
    <t>(2023: ausgehend von 24900 grundständigen Studierenden)</t>
  </si>
  <si>
    <t>624</t>
  </si>
  <si>
    <t>Solidartopf für kleine Fachschaften zur Unterstützung bei Projekten</t>
  </si>
  <si>
    <t>Zweckbindung:</t>
  </si>
  <si>
    <t>für zentrale Zwecke (5,50 € pro Studi * 2 Semester)</t>
  </si>
  <si>
    <t>für die Fachschaften (4,50 € pro Studi * 2 Semester)</t>
  </si>
  <si>
    <t>VS-Beiträge grundständige Studierende (10 € pro Studi * 2 Semester)</t>
  </si>
  <si>
    <t>VS-Beiträge Promotionsstudierende (10 € pro Studi * 2 Semester)</t>
  </si>
  <si>
    <t>für zentrale Zwecke (1,80 € pro Studi * 2 Semester)</t>
  </si>
  <si>
    <t>für den Doktorandenkonvent (8,20 € pro Studi * 2 Semester)</t>
  </si>
  <si>
    <t>IST</t>
  </si>
  <si>
    <t>Gruppierungen und Zuweisungen 2023</t>
  </si>
  <si>
    <t>Chemie</t>
  </si>
  <si>
    <t>Gerontologie/Care</t>
  </si>
  <si>
    <t>Klassische und Byzantinische Archäologie</t>
  </si>
  <si>
    <t>Mittelalterstudien/Cultural Heritage</t>
  </si>
  <si>
    <t>Pharmazie</t>
  </si>
  <si>
    <t>Physik</t>
  </si>
  <si>
    <t>Religionswissenschaft</t>
  </si>
  <si>
    <t xml:space="preserve">Soziologie </t>
  </si>
  <si>
    <t>Ur- und Frühgeschichte/Vorderasiatische Archäologie (UFG/VA)</t>
  </si>
  <si>
    <t>Zuweisung (VZÄ+Sockel)</t>
  </si>
  <si>
    <t>Rücklagen</t>
  </si>
  <si>
    <t>Rückfluss in die zentralen Rücklagen</t>
  </si>
  <si>
    <t>geplante Einnahmen</t>
  </si>
  <si>
    <t>Informatik + Mathematik + Physik</t>
  </si>
  <si>
    <t>Einstellungen in dezentrale Rücklagen für 2024</t>
  </si>
  <si>
    <t>Ansatz</t>
  </si>
  <si>
    <t xml:space="preserve">Fachschaften </t>
  </si>
  <si>
    <t xml:space="preserve">Doktorandenkonvent </t>
  </si>
  <si>
    <t>dezentral (Fachschaften)</t>
  </si>
  <si>
    <t>Anlage 2 zum Haushaltsplan  -  Stellenplan 2023</t>
  </si>
  <si>
    <t>Wochenstunden</t>
  </si>
  <si>
    <t>Finanzen</t>
  </si>
  <si>
    <t>Belegprüfung/Bürosupport</t>
  </si>
  <si>
    <t>Haushalt/Verwaltung</t>
  </si>
  <si>
    <t>E11</t>
  </si>
  <si>
    <t>Überweisungen/EPL-Führung</t>
  </si>
  <si>
    <t>E6</t>
  </si>
  <si>
    <t>Gremien</t>
  </si>
  <si>
    <t>Gremiensupport</t>
  </si>
  <si>
    <t>EDV</t>
  </si>
  <si>
    <t>EDV-Service</t>
  </si>
  <si>
    <t>Server/Administration</t>
  </si>
  <si>
    <t>E9b</t>
  </si>
  <si>
    <t>Büro/Service</t>
  </si>
  <si>
    <t>Ausleihe/Räume/Beschaffung</t>
  </si>
  <si>
    <t>dt. Öffarbeit/Pressearbeit</t>
  </si>
  <si>
    <t>E9a</t>
  </si>
  <si>
    <t>Dok.konvent/engl. Öffarbeit</t>
  </si>
  <si>
    <t>E4</t>
  </si>
  <si>
    <t>E5</t>
  </si>
  <si>
    <t>E7</t>
  </si>
  <si>
    <t>Anzahl Stellen</t>
  </si>
  <si>
    <t>Gruppe</t>
  </si>
  <si>
    <t>Stufe</t>
  </si>
  <si>
    <t>In % einer VZ gerundet</t>
  </si>
  <si>
    <t/>
  </si>
  <si>
    <t>gesamt</t>
  </si>
  <si>
    <t>Differenz zu 410 erklärt sich durch erst im Folgejahr getätigte Lohnzahlungen</t>
  </si>
  <si>
    <t>SALDO</t>
  </si>
  <si>
    <t>1500 € Referate Rekrutierung, 3000 € Werbekampagne StuRa</t>
  </si>
  <si>
    <t>zentral</t>
  </si>
  <si>
    <t>423</t>
  </si>
  <si>
    <t>AE Notlagenausschuss</t>
  </si>
  <si>
    <t>461</t>
  </si>
  <si>
    <t>HABEN</t>
  </si>
  <si>
    <t>SOLL</t>
  </si>
  <si>
    <t>Islamwissenschaft</t>
  </si>
  <si>
    <t>Listen-Basisfinanzierung</t>
  </si>
  <si>
    <t>Angefallene Kosten pro Stelle</t>
  </si>
  <si>
    <t>n.a.</t>
  </si>
  <si>
    <r>
      <t>Endgültige Planmittel</t>
    </r>
    <r>
      <rPr>
        <b/>
        <vertAlign val="superscript"/>
        <sz val="11"/>
        <color theme="1"/>
        <rFont val="Calibri"/>
        <family val="2"/>
        <scheme val="minor"/>
      </rPr>
      <t>(inklusive Rücklagen)</t>
    </r>
  </si>
  <si>
    <t>weitere Fachschaftsprojekte</t>
  </si>
  <si>
    <t>Jahresabschluss 2023</t>
  </si>
  <si>
    <t>ANSATZ</t>
  </si>
  <si>
    <t>DIFFERENZ</t>
  </si>
  <si>
    <t>Rücklagen der Fachschaften</t>
  </si>
  <si>
    <t>Ausgaben (ohne durchlaufende Posten, ohne Rücklagen)</t>
  </si>
  <si>
    <t>Ausgaben gesamt (ohne Rücklagen)</t>
  </si>
  <si>
    <t>NatWiss-Ball</t>
  </si>
  <si>
    <t>Rücklagen aus dem Vorjahr (Kontostand 31.12.2022)</t>
  </si>
  <si>
    <t>Investitionen (Kontostand zum 31.12.2023)</t>
  </si>
  <si>
    <t>937</t>
  </si>
  <si>
    <t>Einnahmen gesamt (ohne Rücklagen)</t>
  </si>
  <si>
    <t>zu hohe Rücklagen genehmigt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</si>
</sst>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[$-407]General"/>
  </numFmts>
  <fonts count="2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rgb="FF000000"/>
      <name val="Arial"/>
      <family val="2"/>
      <charset val="1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10" fillId="0" borderId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5" fontId="10" fillId="0" borderId="0"/>
  </cellStyleXfs>
  <cellXfs count="229">
    <xf numFmtId="0" fontId="0" fillId="0" borderId="0" xfId="0"/>
    <xf numFmtId="49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Border="1"/>
    <xf numFmtId="0" fontId="2" fillId="0" borderId="0" xfId="0" applyFont="1" applyFill="1" applyBorder="1"/>
    <xf numFmtId="0" fontId="0" fillId="0" borderId="0" xfId="0" applyFont="1"/>
    <xf numFmtId="164" fontId="0" fillId="0" borderId="0" xfId="0" applyNumberFormat="1" applyFont="1"/>
    <xf numFmtId="49" fontId="0" fillId="0" borderId="0" xfId="0" applyNumberFormat="1" applyFont="1"/>
    <xf numFmtId="164" fontId="0" fillId="0" borderId="0" xfId="0" applyNumberFormat="1" applyFont="1" applyFill="1"/>
    <xf numFmtId="49" fontId="0" fillId="0" borderId="0" xfId="0" applyNumberFormat="1" applyFont="1" applyFill="1"/>
    <xf numFmtId="0" fontId="4" fillId="0" borderId="0" xfId="0" applyFont="1" applyAlignment="1">
      <alignment horizontal="center"/>
    </xf>
    <xf numFmtId="0" fontId="0" fillId="0" borderId="1" xfId="2" applyFont="1" applyFill="1" applyBorder="1"/>
    <xf numFmtId="0" fontId="0" fillId="0" borderId="0" xfId="0"/>
    <xf numFmtId="0" fontId="0" fillId="0" borderId="0" xfId="0" applyAlignment="1">
      <alignment wrapText="1"/>
    </xf>
    <xf numFmtId="44" fontId="0" fillId="0" borderId="1" xfId="5" applyFont="1" applyBorder="1"/>
    <xf numFmtId="0" fontId="2" fillId="0" borderId="1" xfId="0" applyFont="1" applyFill="1" applyBorder="1"/>
    <xf numFmtId="0" fontId="9" fillId="0" borderId="0" xfId="0" applyFont="1"/>
    <xf numFmtId="0" fontId="2" fillId="0" borderId="1" xfId="0" applyFont="1" applyBorder="1"/>
    <xf numFmtId="44" fontId="2" fillId="0" borderId="1" xfId="5" applyFont="1" applyBorder="1"/>
    <xf numFmtId="44" fontId="0" fillId="0" borderId="1" xfId="5" applyFont="1" applyFill="1" applyBorder="1"/>
    <xf numFmtId="44" fontId="2" fillId="0" borderId="1" xfId="0" applyNumberFormat="1" applyFont="1" applyBorder="1"/>
    <xf numFmtId="8" fontId="0" fillId="0" borderId="0" xfId="0" applyNumberFormat="1" applyFont="1"/>
    <xf numFmtId="8" fontId="0" fillId="0" borderId="0" xfId="0" applyNumberFormat="1" applyFont="1" applyFill="1"/>
    <xf numFmtId="0" fontId="3" fillId="0" borderId="0" xfId="0" applyFont="1" applyFill="1" applyAlignment="1"/>
    <xf numFmtId="49" fontId="0" fillId="0" borderId="1" xfId="0" applyNumberFormat="1" applyFont="1" applyFill="1" applyBorder="1"/>
    <xf numFmtId="0" fontId="0" fillId="0" borderId="1" xfId="0" applyFont="1" applyFill="1" applyBorder="1"/>
    <xf numFmtId="164" fontId="2" fillId="0" borderId="0" xfId="0" applyNumberFormat="1" applyFont="1" applyFill="1"/>
    <xf numFmtId="0" fontId="12" fillId="0" borderId="0" xfId="0" applyFont="1" applyFill="1" applyBorder="1"/>
    <xf numFmtId="0" fontId="0" fillId="0" borderId="0" xfId="0" applyFont="1" applyFill="1" applyBorder="1"/>
    <xf numFmtId="49" fontId="0" fillId="0" borderId="0" xfId="0" applyNumberFormat="1" applyFont="1" applyFill="1" applyBorder="1"/>
    <xf numFmtId="164" fontId="0" fillId="0" borderId="0" xfId="0" applyNumberFormat="1" applyFont="1" applyFill="1" applyBorder="1"/>
    <xf numFmtId="0" fontId="12" fillId="0" borderId="0" xfId="0" applyFont="1" applyFill="1"/>
    <xf numFmtId="0" fontId="3" fillId="0" borderId="0" xfId="0" applyFont="1" applyFill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right"/>
    </xf>
    <xf numFmtId="0" fontId="14" fillId="0" borderId="0" xfId="0" applyFont="1"/>
    <xf numFmtId="0" fontId="13" fillId="0" borderId="1" xfId="1" applyFont="1" applyFill="1" applyBorder="1"/>
    <xf numFmtId="8" fontId="0" fillId="5" borderId="0" xfId="0" applyNumberFormat="1" applyFont="1" applyFill="1" applyBorder="1"/>
    <xf numFmtId="0" fontId="0" fillId="5" borderId="5" xfId="0" applyFont="1" applyFill="1" applyBorder="1"/>
    <xf numFmtId="164" fontId="12" fillId="5" borderId="0" xfId="0" applyNumberFormat="1" applyFont="1" applyFill="1" applyBorder="1"/>
    <xf numFmtId="164" fontId="0" fillId="5" borderId="5" xfId="0" applyNumberFormat="1" applyFont="1" applyFill="1" applyBorder="1"/>
    <xf numFmtId="8" fontId="0" fillId="0" borderId="0" xfId="0" applyNumberFormat="1" applyFont="1" applyFill="1" applyBorder="1"/>
    <xf numFmtId="4" fontId="16" fillId="0" borderId="0" xfId="0" applyNumberFormat="1" applyFont="1"/>
    <xf numFmtId="8" fontId="0" fillId="5" borderId="5" xfId="0" applyNumberFormat="1" applyFont="1" applyFill="1" applyBorder="1"/>
    <xf numFmtId="8" fontId="0" fillId="0" borderId="0" xfId="0" applyNumberFormat="1"/>
    <xf numFmtId="8" fontId="0" fillId="5" borderId="9" xfId="0" applyNumberFormat="1" applyFont="1" applyFill="1" applyBorder="1"/>
    <xf numFmtId="0" fontId="0" fillId="5" borderId="4" xfId="0" applyFont="1" applyFill="1" applyBorder="1"/>
    <xf numFmtId="49" fontId="0" fillId="0" borderId="10" xfId="0" applyNumberFormat="1" applyFont="1" applyFill="1" applyBorder="1"/>
    <xf numFmtId="0" fontId="0" fillId="0" borderId="11" xfId="0" applyFont="1" applyFill="1" applyBorder="1"/>
    <xf numFmtId="0" fontId="12" fillId="0" borderId="0" xfId="0" quotePrefix="1" applyFont="1" applyBorder="1"/>
    <xf numFmtId="49" fontId="0" fillId="0" borderId="11" xfId="0" applyNumberFormat="1" applyFont="1" applyFill="1" applyBorder="1"/>
    <xf numFmtId="8" fontId="0" fillId="5" borderId="6" xfId="0" applyNumberFormat="1" applyFont="1" applyFill="1" applyBorder="1"/>
    <xf numFmtId="0" fontId="0" fillId="0" borderId="11" xfId="0" applyFont="1" applyBorder="1"/>
    <xf numFmtId="0" fontId="2" fillId="0" borderId="6" xfId="0" applyFont="1" applyFill="1" applyBorder="1"/>
    <xf numFmtId="8" fontId="2" fillId="0" borderId="0" xfId="0" applyNumberFormat="1" applyFont="1" applyBorder="1"/>
    <xf numFmtId="0" fontId="0" fillId="5" borderId="7" xfId="0" applyFont="1" applyFill="1" applyBorder="1"/>
    <xf numFmtId="49" fontId="2" fillId="0" borderId="3" xfId="0" applyNumberFormat="1" applyFont="1" applyFill="1" applyBorder="1"/>
    <xf numFmtId="8" fontId="2" fillId="5" borderId="0" xfId="0" applyNumberFormat="1" applyFont="1" applyFill="1" applyBorder="1"/>
    <xf numFmtId="0" fontId="2" fillId="5" borderId="4" xfId="0" applyFont="1" applyFill="1" applyBorder="1"/>
    <xf numFmtId="8" fontId="2" fillId="0" borderId="0" xfId="0" applyNumberFormat="1" applyFont="1"/>
    <xf numFmtId="8" fontId="2" fillId="5" borderId="9" xfId="0" applyNumberFormat="1" applyFont="1" applyFill="1" applyBorder="1"/>
    <xf numFmtId="3" fontId="0" fillId="0" borderId="0" xfId="0" applyNumberFormat="1" applyFont="1"/>
    <xf numFmtId="0" fontId="0" fillId="0" borderId="9" xfId="0" applyFont="1" applyFill="1" applyBorder="1"/>
    <xf numFmtId="0" fontId="2" fillId="0" borderId="12" xfId="0" applyFont="1" applyFill="1" applyBorder="1"/>
    <xf numFmtId="49" fontId="0" fillId="6" borderId="0" xfId="0" applyNumberFormat="1" applyFont="1" applyFill="1" applyBorder="1"/>
    <xf numFmtId="0" fontId="0" fillId="6" borderId="0" xfId="0" applyFont="1" applyFill="1" applyBorder="1"/>
    <xf numFmtId="8" fontId="0" fillId="6" borderId="0" xfId="0" applyNumberFormat="1" applyFont="1" applyFill="1" applyBorder="1"/>
    <xf numFmtId="8" fontId="0" fillId="6" borderId="6" xfId="0" applyNumberFormat="1" applyFont="1" applyFill="1" applyBorder="1"/>
    <xf numFmtId="0" fontId="0" fillId="6" borderId="13" xfId="0" applyFont="1" applyFill="1" applyBorder="1"/>
    <xf numFmtId="0" fontId="0" fillId="6" borderId="0" xfId="0" applyFill="1"/>
    <xf numFmtId="49" fontId="3" fillId="6" borderId="0" xfId="0" applyNumberFormat="1" applyFont="1" applyFill="1"/>
    <xf numFmtId="0" fontId="3" fillId="6" borderId="0" xfId="0" applyFont="1" applyFill="1"/>
    <xf numFmtId="8" fontId="0" fillId="6" borderId="0" xfId="0" applyNumberFormat="1" applyFont="1" applyFill="1"/>
    <xf numFmtId="0" fontId="0" fillId="6" borderId="0" xfId="0" applyFill="1" applyBorder="1"/>
    <xf numFmtId="0" fontId="0" fillId="6" borderId="6" xfId="0" applyFont="1" applyFill="1" applyBorder="1"/>
    <xf numFmtId="0" fontId="0" fillId="6" borderId="0" xfId="0" applyFont="1" applyFill="1"/>
    <xf numFmtId="0" fontId="0" fillId="5" borderId="0" xfId="0" applyFont="1" applyFill="1" applyBorder="1"/>
    <xf numFmtId="8" fontId="0" fillId="0" borderId="11" xfId="0" applyNumberFormat="1" applyFont="1" applyBorder="1"/>
    <xf numFmtId="8" fontId="2" fillId="0" borderId="15" xfId="0" applyNumberFormat="1" applyFont="1" applyBorder="1"/>
    <xf numFmtId="49" fontId="2" fillId="7" borderId="12" xfId="0" applyNumberFormat="1" applyFont="1" applyFill="1" applyBorder="1"/>
    <xf numFmtId="0" fontId="2" fillId="7" borderId="6" xfId="0" applyFont="1" applyFill="1" applyBorder="1"/>
    <xf numFmtId="164" fontId="2" fillId="7" borderId="6" xfId="0" applyNumberFormat="1" applyFont="1" applyFill="1" applyBorder="1"/>
    <xf numFmtId="164" fontId="2" fillId="7" borderId="7" xfId="0" applyNumberFormat="1" applyFont="1" applyFill="1" applyBorder="1"/>
    <xf numFmtId="164" fontId="2" fillId="7" borderId="12" xfId="0" applyNumberFormat="1" applyFont="1" applyFill="1" applyBorder="1"/>
    <xf numFmtId="8" fontId="0" fillId="7" borderId="6" xfId="0" applyNumberFormat="1" applyFont="1" applyFill="1" applyBorder="1"/>
    <xf numFmtId="8" fontId="0" fillId="7" borderId="7" xfId="0" applyNumberFormat="1" applyFont="1" applyFill="1" applyBorder="1"/>
    <xf numFmtId="164" fontId="17" fillId="7" borderId="7" xfId="0" applyNumberFormat="1" applyFont="1" applyFill="1" applyBorder="1"/>
    <xf numFmtId="49" fontId="2" fillId="7" borderId="6" xfId="0" applyNumberFormat="1" applyFont="1" applyFill="1" applyBorder="1"/>
    <xf numFmtId="0" fontId="0" fillId="7" borderId="7" xfId="0" applyFont="1" applyFill="1" applyBorder="1"/>
    <xf numFmtId="8" fontId="12" fillId="5" borderId="0" xfId="0" applyNumberFormat="1" applyFont="1" applyFill="1" applyBorder="1"/>
    <xf numFmtId="4" fontId="0" fillId="0" borderId="0" xfId="0" applyNumberFormat="1" applyAlignment="1">
      <alignment horizontal="left"/>
    </xf>
    <xf numFmtId="49" fontId="2" fillId="7" borderId="3" xfId="0" applyNumberFormat="1" applyFont="1" applyFill="1" applyBorder="1"/>
    <xf numFmtId="0" fontId="2" fillId="7" borderId="9" xfId="0" applyFont="1" applyFill="1" applyBorder="1"/>
    <xf numFmtId="49" fontId="0" fillId="0" borderId="16" xfId="0" applyNumberFormat="1" applyFont="1" applyFill="1" applyBorder="1"/>
    <xf numFmtId="0" fontId="0" fillId="0" borderId="0" xfId="0" applyFont="1" applyFill="1"/>
    <xf numFmtId="0" fontId="12" fillId="0" borderId="0" xfId="0" applyFont="1" applyFill="1" applyBorder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44" fontId="10" fillId="0" borderId="1" xfId="6" applyFont="1" applyFill="1" applyBorder="1"/>
    <xf numFmtId="8" fontId="0" fillId="0" borderId="5" xfId="0" applyNumberFormat="1" applyBorder="1"/>
    <xf numFmtId="8" fontId="0" fillId="0" borderId="1" xfId="0" applyNumberFormat="1" applyBorder="1"/>
    <xf numFmtId="8" fontId="0" fillId="0" borderId="18" xfId="0" applyNumberFormat="1" applyBorder="1"/>
    <xf numFmtId="0" fontId="0" fillId="0" borderId="0" xfId="0" applyAlignment="1">
      <alignment horizontal="left" vertical="top" wrapText="1"/>
    </xf>
    <xf numFmtId="8" fontId="2" fillId="0" borderId="17" xfId="0" applyNumberFormat="1" applyFont="1" applyBorder="1" applyAlignment="1"/>
    <xf numFmtId="8" fontId="0" fillId="0" borderId="0" xfId="0" applyNumberFormat="1" applyBorder="1"/>
    <xf numFmtId="164" fontId="0" fillId="0" borderId="1" xfId="0" applyNumberFormat="1" applyBorder="1"/>
    <xf numFmtId="49" fontId="2" fillId="0" borderId="10" xfId="0" applyNumberFormat="1" applyFont="1" applyFill="1" applyBorder="1"/>
    <xf numFmtId="49" fontId="2" fillId="0" borderId="1" xfId="0" applyNumberFormat="1" applyFont="1" applyFill="1" applyBorder="1"/>
    <xf numFmtId="0" fontId="2" fillId="0" borderId="15" xfId="0" applyFont="1" applyFill="1" applyBorder="1"/>
    <xf numFmtId="49" fontId="2" fillId="0" borderId="11" xfId="0" applyNumberFormat="1" applyFont="1" applyFill="1" applyBorder="1"/>
    <xf numFmtId="8" fontId="0" fillId="0" borderId="2" xfId="0" applyNumberFormat="1" applyBorder="1"/>
    <xf numFmtId="8" fontId="2" fillId="0" borderId="1" xfId="0" applyNumberFormat="1" applyFont="1" applyBorder="1"/>
    <xf numFmtId="8" fontId="2" fillId="0" borderId="18" xfId="0" applyNumberFormat="1" applyFont="1" applyBorder="1"/>
    <xf numFmtId="164" fontId="0" fillId="0" borderId="0" xfId="0" applyNumberFormat="1"/>
    <xf numFmtId="0" fontId="18" fillId="0" borderId="0" xfId="0" applyFont="1"/>
    <xf numFmtId="0" fontId="10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2" fillId="0" borderId="0" xfId="0" applyFont="1"/>
    <xf numFmtId="0" fontId="19" fillId="8" borderId="3" xfId="0" applyFont="1" applyFill="1" applyBorder="1" applyAlignment="1">
      <alignment vertical="center"/>
    </xf>
    <xf numFmtId="0" fontId="19" fillId="8" borderId="9" xfId="0" applyFont="1" applyFill="1" applyBorder="1" applyAlignment="1">
      <alignment horizontal="left" vertical="center"/>
    </xf>
    <xf numFmtId="0" fontId="10" fillId="8" borderId="9" xfId="0" applyFont="1" applyFill="1" applyBorder="1" applyAlignment="1">
      <alignment horizontal="left" vertical="center"/>
    </xf>
    <xf numFmtId="0" fontId="19" fillId="8" borderId="11" xfId="0" applyFont="1" applyFill="1" applyBorder="1" applyAlignment="1">
      <alignment vertical="center"/>
    </xf>
    <xf numFmtId="0" fontId="19" fillId="8" borderId="0" xfId="0" applyFont="1" applyFill="1" applyBorder="1" applyAlignment="1">
      <alignment horizontal="left" vertical="center"/>
    </xf>
    <xf numFmtId="0" fontId="10" fillId="0" borderId="1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2" fontId="0" fillId="0" borderId="0" xfId="0" applyNumberFormat="1" applyFont="1" applyBorder="1" applyAlignment="1"/>
    <xf numFmtId="0" fontId="10" fillId="8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10" fillId="0" borderId="12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0" fillId="0" borderId="6" xfId="0" applyFont="1" applyBorder="1" applyAlignment="1"/>
    <xf numFmtId="0" fontId="10" fillId="8" borderId="4" xfId="0" applyFont="1" applyFill="1" applyBorder="1" applyAlignment="1">
      <alignment horizontal="left" vertical="center"/>
    </xf>
    <xf numFmtId="0" fontId="22" fillId="0" borderId="5" xfId="0" applyFont="1" applyBorder="1" applyAlignment="1">
      <alignment horizontal="right" vertical="center"/>
    </xf>
    <xf numFmtId="0" fontId="10" fillId="0" borderId="5" xfId="0" applyFont="1" applyBorder="1" applyAlignment="1">
      <alignment vertical="center"/>
    </xf>
    <xf numFmtId="1" fontId="0" fillId="0" borderId="5" xfId="0" applyNumberFormat="1" applyFont="1" applyBorder="1" applyAlignment="1"/>
    <xf numFmtId="0" fontId="21" fillId="0" borderId="12" xfId="0" applyFont="1" applyBorder="1"/>
    <xf numFmtId="0" fontId="21" fillId="0" borderId="6" xfId="0" applyFont="1" applyBorder="1"/>
    <xf numFmtId="0" fontId="21" fillId="0" borderId="6" xfId="0" applyFont="1" applyBorder="1" applyAlignment="1"/>
    <xf numFmtId="0" fontId="21" fillId="0" borderId="7" xfId="0" applyFont="1" applyBorder="1" applyAlignment="1"/>
    <xf numFmtId="0" fontId="10" fillId="8" borderId="9" xfId="0" applyFont="1" applyFill="1" applyBorder="1" applyAlignment="1">
      <alignment vertical="center"/>
    </xf>
    <xf numFmtId="0" fontId="10" fillId="8" borderId="4" xfId="0" applyFont="1" applyFill="1" applyBorder="1" applyAlignment="1">
      <alignment vertical="center"/>
    </xf>
    <xf numFmtId="164" fontId="0" fillId="0" borderId="21" xfId="0" applyNumberFormat="1" applyBorder="1"/>
    <xf numFmtId="164" fontId="0" fillId="0" borderId="22" xfId="0" applyNumberFormat="1" applyBorder="1"/>
    <xf numFmtId="164" fontId="10" fillId="0" borderId="21" xfId="0" applyNumberFormat="1" applyFont="1" applyBorder="1" applyAlignment="1">
      <alignment vertical="center"/>
    </xf>
    <xf numFmtId="164" fontId="0" fillId="9" borderId="23" xfId="0" applyNumberFormat="1" applyFill="1" applyBorder="1"/>
    <xf numFmtId="0" fontId="2" fillId="0" borderId="20" xfId="0" applyFont="1" applyBorder="1" applyAlignment="1">
      <alignment horizontal="center"/>
    </xf>
    <xf numFmtId="0" fontId="2" fillId="0" borderId="24" xfId="0" applyFont="1" applyBorder="1"/>
    <xf numFmtId="164" fontId="0" fillId="0" borderId="13" xfId="0" applyNumberFormat="1" applyFont="1" applyBorder="1"/>
    <xf numFmtId="8" fontId="0" fillId="0" borderId="13" xfId="0" applyNumberFormat="1" applyFont="1" applyBorder="1"/>
    <xf numFmtId="0" fontId="0" fillId="7" borderId="12" xfId="0" applyFont="1" applyFill="1" applyBorder="1"/>
    <xf numFmtId="8" fontId="0" fillId="0" borderId="25" xfId="0" applyNumberFormat="1" applyFont="1" applyBorder="1"/>
    <xf numFmtId="0" fontId="12" fillId="5" borderId="5" xfId="0" applyFont="1" applyFill="1" applyBorder="1"/>
    <xf numFmtId="8" fontId="0" fillId="5" borderId="26" xfId="0" applyNumberFormat="1" applyFont="1" applyFill="1" applyBorder="1"/>
    <xf numFmtId="8" fontId="0" fillId="7" borderId="12" xfId="0" applyNumberFormat="1" applyFont="1" applyFill="1" applyBorder="1"/>
    <xf numFmtId="0" fontId="0" fillId="5" borderId="9" xfId="0" applyFont="1" applyFill="1" applyBorder="1"/>
    <xf numFmtId="49" fontId="12" fillId="0" borderId="10" xfId="0" applyNumberFormat="1" applyFont="1" applyFill="1" applyBorder="1"/>
    <xf numFmtId="0" fontId="12" fillId="0" borderId="1" xfId="0" applyFont="1" applyFill="1" applyBorder="1"/>
    <xf numFmtId="49" fontId="12" fillId="0" borderId="1" xfId="0" applyNumberFormat="1" applyFont="1" applyFill="1" applyBorder="1"/>
    <xf numFmtId="8" fontId="12" fillId="5" borderId="5" xfId="0" applyNumberFormat="1" applyFont="1" applyFill="1" applyBorder="1"/>
    <xf numFmtId="8" fontId="12" fillId="5" borderId="26" xfId="0" applyNumberFormat="1" applyFont="1" applyFill="1" applyBorder="1"/>
    <xf numFmtId="8" fontId="23" fillId="5" borderId="26" xfId="0" applyNumberFormat="1" applyFont="1" applyFill="1" applyBorder="1"/>
    <xf numFmtId="8" fontId="2" fillId="5" borderId="26" xfId="0" applyNumberFormat="1" applyFont="1" applyFill="1" applyBorder="1"/>
    <xf numFmtId="164" fontId="17" fillId="7" borderId="6" xfId="0" applyNumberFormat="1" applyFont="1" applyFill="1" applyBorder="1"/>
    <xf numFmtId="0" fontId="0" fillId="5" borderId="0" xfId="0" applyFill="1" applyBorder="1"/>
    <xf numFmtId="49" fontId="0" fillId="0" borderId="3" xfId="0" applyNumberFormat="1" applyFont="1" applyFill="1" applyBorder="1"/>
    <xf numFmtId="0" fontId="0" fillId="0" borderId="0" xfId="0" applyFont="1" applyBorder="1"/>
    <xf numFmtId="49" fontId="0" fillId="0" borderId="12" xfId="0" applyNumberFormat="1" applyFont="1" applyFill="1" applyBorder="1"/>
    <xf numFmtId="164" fontId="0" fillId="5" borderId="6" xfId="0" applyNumberFormat="1" applyFont="1" applyFill="1" applyBorder="1"/>
    <xf numFmtId="0" fontId="2" fillId="0" borderId="9" xfId="0" applyFont="1" applyFill="1" applyBorder="1"/>
    <xf numFmtId="164" fontId="0" fillId="5" borderId="9" xfId="0" applyNumberFormat="1" applyFont="1" applyFill="1" applyBorder="1"/>
    <xf numFmtId="0" fontId="12" fillId="5" borderId="0" xfId="0" applyFont="1" applyFill="1" applyBorder="1"/>
    <xf numFmtId="164" fontId="12" fillId="5" borderId="26" xfId="3" applyNumberFormat="1" applyFont="1" applyFill="1" applyBorder="1"/>
    <xf numFmtId="0" fontId="12" fillId="0" borderId="15" xfId="0" applyFont="1" applyFill="1" applyBorder="1"/>
    <xf numFmtId="49" fontId="12" fillId="0" borderId="11" xfId="0" applyNumberFormat="1" applyFont="1" applyFill="1" applyBorder="1"/>
    <xf numFmtId="49" fontId="12" fillId="0" borderId="14" xfId="0" applyNumberFormat="1" applyFont="1" applyFill="1" applyBorder="1"/>
    <xf numFmtId="0" fontId="0" fillId="0" borderId="19" xfId="0" applyFont="1" applyFill="1" applyBorder="1"/>
    <xf numFmtId="49" fontId="0" fillId="0" borderId="15" xfId="0" applyNumberFormat="1" applyFont="1" applyFill="1" applyBorder="1"/>
    <xf numFmtId="49" fontId="12" fillId="0" borderId="2" xfId="0" applyNumberFormat="1" applyFont="1" applyFill="1" applyBorder="1"/>
    <xf numFmtId="0" fontId="12" fillId="0" borderId="19" xfId="0" applyFont="1" applyFill="1" applyBorder="1"/>
    <xf numFmtId="49" fontId="0" fillId="0" borderId="2" xfId="0" applyNumberFormat="1" applyFont="1" applyFill="1" applyBorder="1"/>
    <xf numFmtId="49" fontId="0" fillId="0" borderId="19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10" fillId="0" borderId="1" xfId="7" applyBorder="1"/>
    <xf numFmtId="8" fontId="12" fillId="0" borderId="11" xfId="0" applyNumberFormat="1" applyFont="1" applyFill="1" applyBorder="1"/>
    <xf numFmtId="8" fontId="0" fillId="0" borderId="11" xfId="0" applyNumberFormat="1" applyFont="1" applyFill="1" applyBorder="1"/>
    <xf numFmtId="8" fontId="0" fillId="0" borderId="0" xfId="0" applyNumberFormat="1" applyFont="1" applyAlignment="1">
      <alignment horizontal="left"/>
    </xf>
    <xf numFmtId="8" fontId="0" fillId="10" borderId="0" xfId="0" applyNumberFormat="1" applyFont="1" applyFill="1" applyBorder="1"/>
    <xf numFmtId="0" fontId="0" fillId="10" borderId="5" xfId="0" applyFont="1" applyFill="1" applyBorder="1"/>
    <xf numFmtId="8" fontId="0" fillId="10" borderId="3" xfId="0" applyNumberFormat="1" applyFont="1" applyFill="1" applyBorder="1"/>
    <xf numFmtId="8" fontId="0" fillId="10" borderId="5" xfId="0" applyNumberFormat="1" applyFont="1" applyFill="1" applyBorder="1"/>
    <xf numFmtId="8" fontId="0" fillId="10" borderId="11" xfId="0" applyNumberFormat="1" applyFont="1" applyFill="1" applyBorder="1"/>
    <xf numFmtId="164" fontId="12" fillId="10" borderId="11" xfId="0" applyNumberFormat="1" applyFont="1" applyFill="1" applyBorder="1"/>
    <xf numFmtId="8" fontId="2" fillId="10" borderId="0" xfId="0" applyNumberFormat="1" applyFont="1" applyFill="1" applyBorder="1"/>
    <xf numFmtId="0" fontId="2" fillId="10" borderId="4" xfId="0" applyFont="1" applyFill="1" applyBorder="1"/>
    <xf numFmtId="8" fontId="12" fillId="10" borderId="11" xfId="0" applyNumberFormat="1" applyFont="1" applyFill="1" applyBorder="1"/>
    <xf numFmtId="8" fontId="12" fillId="10" borderId="0" xfId="0" applyNumberFormat="1" applyFont="1" applyFill="1" applyBorder="1"/>
    <xf numFmtId="8" fontId="2" fillId="10" borderId="3" xfId="0" applyNumberFormat="1" applyFont="1" applyFill="1" applyBorder="1"/>
    <xf numFmtId="0" fontId="0" fillId="10" borderId="4" xfId="0" applyFont="1" applyFill="1" applyBorder="1"/>
    <xf numFmtId="8" fontId="0" fillId="10" borderId="9" xfId="0" applyNumberFormat="1" applyFont="1" applyFill="1" applyBorder="1"/>
    <xf numFmtId="164" fontId="0" fillId="10" borderId="5" xfId="0" applyNumberFormat="1" applyFont="1" applyFill="1" applyBorder="1"/>
    <xf numFmtId="8" fontId="0" fillId="10" borderId="6" xfId="0" applyNumberFormat="1" applyFont="1" applyFill="1" applyBorder="1"/>
    <xf numFmtId="0" fontId="0" fillId="10" borderId="7" xfId="0" applyFont="1" applyFill="1" applyBorder="1"/>
    <xf numFmtId="8" fontId="24" fillId="10" borderId="11" xfId="0" applyNumberFormat="1" applyFont="1" applyFill="1" applyBorder="1"/>
    <xf numFmtId="8" fontId="2" fillId="10" borderId="11" xfId="0" applyNumberFormat="1" applyFont="1" applyFill="1" applyBorder="1"/>
    <xf numFmtId="8" fontId="23" fillId="10" borderId="11" xfId="0" applyNumberFormat="1" applyFont="1" applyFill="1" applyBorder="1"/>
    <xf numFmtId="164" fontId="12" fillId="10" borderId="11" xfId="3" applyNumberFormat="1" applyFont="1" applyFill="1" applyBorder="1"/>
    <xf numFmtId="44" fontId="0" fillId="10" borderId="5" xfId="0" applyNumberFormat="1" applyFont="1" applyFill="1" applyBorder="1"/>
    <xf numFmtId="44" fontId="12" fillId="10" borderId="11" xfId="0" applyNumberFormat="1" applyFont="1" applyFill="1" applyBorder="1"/>
    <xf numFmtId="0" fontId="0" fillId="10" borderId="5" xfId="0" applyFill="1" applyBorder="1"/>
    <xf numFmtId="164" fontId="0" fillId="10" borderId="3" xfId="0" applyNumberFormat="1" applyFont="1" applyFill="1" applyBorder="1"/>
    <xf numFmtId="164" fontId="0" fillId="10" borderId="4" xfId="0" applyNumberFormat="1" applyFont="1" applyFill="1" applyBorder="1"/>
    <xf numFmtId="164" fontId="0" fillId="10" borderId="12" xfId="0" applyNumberFormat="1" applyFont="1" applyFill="1" applyBorder="1"/>
    <xf numFmtId="164" fontId="0" fillId="10" borderId="7" xfId="0" applyNumberFormat="1" applyFont="1" applyFill="1" applyBorder="1"/>
    <xf numFmtId="8" fontId="0" fillId="0" borderId="9" xfId="0" applyNumberFormat="1" applyFont="1" applyFill="1" applyBorder="1"/>
    <xf numFmtId="8" fontId="0" fillId="0" borderId="3" xfId="0" applyNumberFormat="1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2" fillId="6" borderId="1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15" fillId="0" borderId="0" xfId="0" applyFont="1" applyFill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15" xfId="0" applyNumberFormat="1" applyFont="1" applyFill="1" applyBorder="1" applyAlignment="1">
      <alignment horizontal="center"/>
    </xf>
    <xf numFmtId="8" fontId="2" fillId="0" borderId="17" xfId="0" applyNumberFormat="1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</cellXfs>
  <cellStyles count="8">
    <cellStyle name="Excel Built-in Normal" xfId="7" xr:uid="{B415A8DB-7854-4B84-A446-56FF91DA8CB4}"/>
    <cellStyle name="Gut" xfId="1" builtinId="26"/>
    <cellStyle name="Neutral" xfId="3" builtinId="28"/>
    <cellStyle name="Schlecht" xfId="2" builtinId="27"/>
    <cellStyle name="Standard" xfId="0" builtinId="0"/>
    <cellStyle name="Standard 2" xfId="4" xr:uid="{00000000-0005-0000-0000-000004000000}"/>
    <cellStyle name="Währung" xfId="6" builtinId="4"/>
    <cellStyle name="Währung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165101</xdr:colOff>
      <xdr:row>0</xdr:row>
      <xdr:rowOff>38100</xdr:rowOff>
    </xdr:from>
    <xdr:to>
      <xdr:col>7</xdr:col>
      <xdr:colOff>2286001</xdr:colOff>
      <xdr:row>0</xdr:row>
      <xdr:rowOff>651942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98301" y="38100"/>
          <a:ext cx="2120900" cy="613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10"/>
  <sheetViews>
    <sheetView topLeftCell="A169" zoomScale="85" zoomScaleNormal="85" workbookViewId="0">
      <selection sqref="A1:G207"/>
    </sheetView>
  </sheetViews>
  <sheetFormatPr baseColWidth="10" defaultRowHeight="15" x14ac:dyDescent="0.25"/>
  <cols>
    <col min="1" max="1" width="14.28515625" style="6" customWidth="1"/>
    <col min="2" max="2" width="72" style="6" customWidth="1"/>
    <col min="3" max="3" width="22.140625" style="7" customWidth="1"/>
    <col min="4" max="4" width="18.7109375" style="7" customWidth="1"/>
    <col min="5" max="5" width="15.28515625" style="22" customWidth="1"/>
    <col min="6" max="6" width="17.28515625" style="6" customWidth="1"/>
    <col min="7" max="7" width="28.140625" style="22" customWidth="1"/>
    <col min="8" max="8" width="39" customWidth="1"/>
    <col min="9" max="9" width="16.85546875" customWidth="1"/>
    <col min="11" max="11" width="12.140625" customWidth="1"/>
    <col min="12" max="12" width="12.28515625" customWidth="1"/>
    <col min="13" max="14" width="11.42578125" customWidth="1"/>
    <col min="15" max="16" width="3.140625" customWidth="1"/>
  </cols>
  <sheetData>
    <row r="1" spans="1:9" ht="71.25" customHeight="1" x14ac:dyDescent="0.25">
      <c r="A1" s="222" t="s">
        <v>326</v>
      </c>
      <c r="B1" s="222"/>
      <c r="C1" s="222"/>
      <c r="D1" s="222"/>
      <c r="E1" s="222"/>
      <c r="F1" s="222"/>
      <c r="G1" s="222"/>
    </row>
    <row r="2" spans="1:9" x14ac:dyDescent="0.25">
      <c r="A2" s="16" t="s">
        <v>136</v>
      </c>
      <c r="B2" s="16" t="s">
        <v>137</v>
      </c>
      <c r="C2" s="223" t="s">
        <v>327</v>
      </c>
      <c r="D2" s="224"/>
      <c r="E2" s="223" t="s">
        <v>262</v>
      </c>
      <c r="F2" s="224"/>
      <c r="G2" s="80" t="s">
        <v>328</v>
      </c>
      <c r="H2" s="36"/>
    </row>
    <row r="3" spans="1:9" ht="15.75" x14ac:dyDescent="0.25">
      <c r="A3" s="221" t="s">
        <v>19</v>
      </c>
      <c r="B3" s="221"/>
      <c r="C3" s="39"/>
      <c r="D3" s="40"/>
      <c r="E3" s="189"/>
      <c r="F3" s="190"/>
    </row>
    <row r="4" spans="1:9" x14ac:dyDescent="0.25">
      <c r="A4" s="10"/>
      <c r="B4" s="24"/>
      <c r="C4" s="39"/>
      <c r="D4" s="40"/>
      <c r="E4" s="189"/>
      <c r="F4" s="190"/>
    </row>
    <row r="5" spans="1:9" s="6" customFormat="1" ht="15.75" thickBot="1" x14ac:dyDescent="0.3">
      <c r="A5" s="89">
        <v>0</v>
      </c>
      <c r="B5" s="82" t="s">
        <v>235</v>
      </c>
      <c r="C5" s="86">
        <v>0</v>
      </c>
      <c r="D5" s="90"/>
      <c r="E5" s="86"/>
      <c r="F5" s="90"/>
      <c r="G5" s="22"/>
      <c r="H5"/>
    </row>
    <row r="6" spans="1:9" s="71" customFormat="1" ht="15.75" thickBot="1" x14ac:dyDescent="0.3">
      <c r="A6" s="72"/>
      <c r="B6" s="73"/>
      <c r="C6" s="69"/>
      <c r="D6" s="70"/>
      <c r="E6" s="69"/>
      <c r="F6" s="70"/>
      <c r="G6" s="74"/>
    </row>
    <row r="7" spans="1:9" x14ac:dyDescent="0.25">
      <c r="A7" s="93" t="s">
        <v>0</v>
      </c>
      <c r="B7" s="94" t="s">
        <v>86</v>
      </c>
      <c r="C7" s="47"/>
      <c r="D7" s="48"/>
      <c r="E7" s="191"/>
      <c r="F7" s="192"/>
      <c r="I7" s="13"/>
    </row>
    <row r="8" spans="1:9" x14ac:dyDescent="0.25">
      <c r="A8" s="49" t="s">
        <v>162</v>
      </c>
      <c r="B8" s="26" t="s">
        <v>258</v>
      </c>
      <c r="C8" s="154"/>
      <c r="D8" s="45">
        <v>498000</v>
      </c>
      <c r="E8" s="193"/>
      <c r="F8" s="192">
        <v>497400</v>
      </c>
      <c r="G8" s="43">
        <f>F8-D8</f>
        <v>-600</v>
      </c>
      <c r="I8" s="13"/>
    </row>
    <row r="9" spans="1:9" x14ac:dyDescent="0.25">
      <c r="A9" s="50"/>
      <c r="B9" s="28" t="s">
        <v>256</v>
      </c>
      <c r="C9" s="41">
        <f>24900*2*5.5</f>
        <v>273900</v>
      </c>
      <c r="D9" s="40"/>
      <c r="E9" s="194">
        <f>F8-E10</f>
        <v>273300</v>
      </c>
      <c r="F9" s="192"/>
    </row>
    <row r="10" spans="1:9" x14ac:dyDescent="0.25">
      <c r="A10" s="50"/>
      <c r="B10" s="51" t="s">
        <v>257</v>
      </c>
      <c r="C10" s="41">
        <f>24900*4.5*2</f>
        <v>224100</v>
      </c>
      <c r="D10" s="40"/>
      <c r="E10" s="194">
        <v>224100</v>
      </c>
      <c r="F10" s="192"/>
    </row>
    <row r="11" spans="1:9" s="13" customFormat="1" x14ac:dyDescent="0.25">
      <c r="A11" s="50"/>
      <c r="B11" s="97" t="s">
        <v>252</v>
      </c>
      <c r="C11" s="39"/>
      <c r="D11" s="40"/>
      <c r="E11" s="193"/>
      <c r="F11" s="192"/>
      <c r="G11" s="22"/>
    </row>
    <row r="12" spans="1:9" x14ac:dyDescent="0.25">
      <c r="A12" s="49" t="s">
        <v>163</v>
      </c>
      <c r="B12" s="26" t="s">
        <v>259</v>
      </c>
      <c r="C12" s="154"/>
      <c r="D12" s="45">
        <v>70000</v>
      </c>
      <c r="E12" s="193"/>
      <c r="F12" s="192">
        <v>80230</v>
      </c>
      <c r="G12" s="43">
        <f>F12-D12</f>
        <v>10230</v>
      </c>
      <c r="H12" s="37"/>
    </row>
    <row r="13" spans="1:9" s="13" customFormat="1" x14ac:dyDescent="0.25">
      <c r="A13" s="52"/>
      <c r="B13" s="28" t="s">
        <v>260</v>
      </c>
      <c r="C13" s="91">
        <f>1.8*2*3500</f>
        <v>12600</v>
      </c>
      <c r="D13" s="40"/>
      <c r="E13" s="193">
        <f>3973*1.8+4050*1.8</f>
        <v>14441.400000000001</v>
      </c>
      <c r="F13" s="192"/>
      <c r="G13" s="22"/>
      <c r="H13" s="37"/>
    </row>
    <row r="14" spans="1:9" s="13" customFormat="1" x14ac:dyDescent="0.25">
      <c r="A14" s="52"/>
      <c r="B14" s="51" t="s">
        <v>261</v>
      </c>
      <c r="C14" s="91">
        <f>8.2*2*3500</f>
        <v>57399.999999999993</v>
      </c>
      <c r="D14" s="40"/>
      <c r="E14" s="193">
        <f>3973*8.2+4050*8.2</f>
        <v>65788.600000000006</v>
      </c>
      <c r="F14" s="192"/>
      <c r="G14" s="22"/>
      <c r="H14" s="37"/>
    </row>
    <row r="15" spans="1:9" x14ac:dyDescent="0.25">
      <c r="A15" s="52"/>
      <c r="B15" s="97" t="s">
        <v>250</v>
      </c>
      <c r="C15" s="39"/>
      <c r="D15" s="40"/>
      <c r="E15" s="193"/>
      <c r="F15" s="192"/>
    </row>
    <row r="16" spans="1:9" s="6" customFormat="1" ht="15.75" thickBot="1" x14ac:dyDescent="0.3">
      <c r="A16" s="81" t="s">
        <v>153</v>
      </c>
      <c r="B16" s="82" t="s">
        <v>86</v>
      </c>
      <c r="C16" s="85"/>
      <c r="D16" s="84">
        <f>SUM(D7:D15)</f>
        <v>568000</v>
      </c>
      <c r="E16" s="151"/>
      <c r="F16" s="84">
        <f>SUM(F8:F15)</f>
        <v>577630</v>
      </c>
      <c r="G16" s="43">
        <f>F16-D16</f>
        <v>9630</v>
      </c>
    </row>
    <row r="17" spans="1:10" s="71" customFormat="1" ht="15.75" thickBot="1" x14ac:dyDescent="0.3">
      <c r="A17" s="66"/>
      <c r="B17" s="67"/>
      <c r="C17" s="69"/>
      <c r="D17" s="70"/>
      <c r="E17" s="69"/>
      <c r="F17" s="76"/>
      <c r="G17" s="68"/>
    </row>
    <row r="18" spans="1:10" s="2" customFormat="1" x14ac:dyDescent="0.25">
      <c r="A18" s="93" t="s">
        <v>1</v>
      </c>
      <c r="B18" s="94" t="s">
        <v>179</v>
      </c>
      <c r="C18" s="59"/>
      <c r="D18" s="60"/>
      <c r="E18" s="195"/>
      <c r="F18" s="196"/>
      <c r="G18" s="61"/>
    </row>
    <row r="19" spans="1:10" x14ac:dyDescent="0.25">
      <c r="A19" s="49" t="s">
        <v>87</v>
      </c>
      <c r="B19" s="26" t="s">
        <v>239</v>
      </c>
      <c r="C19" s="154"/>
      <c r="D19" s="45">
        <f>SUM(C20:C21)</f>
        <v>3000</v>
      </c>
      <c r="E19" s="193"/>
      <c r="F19" s="192">
        <f>SUM(E20:E21)</f>
        <v>6670.31</v>
      </c>
      <c r="G19" s="43">
        <f>F19-D19</f>
        <v>3670.3100000000004</v>
      </c>
    </row>
    <row r="20" spans="1:10" x14ac:dyDescent="0.25">
      <c r="A20" s="52"/>
      <c r="B20" s="28" t="s">
        <v>314</v>
      </c>
      <c r="C20" s="91">
        <v>0</v>
      </c>
      <c r="D20" s="153"/>
      <c r="E20" s="197">
        <v>0</v>
      </c>
      <c r="F20" s="190"/>
    </row>
    <row r="21" spans="1:10" x14ac:dyDescent="0.25">
      <c r="A21" s="52"/>
      <c r="B21" s="28" t="s">
        <v>282</v>
      </c>
      <c r="C21" s="91">
        <v>3000</v>
      </c>
      <c r="D21" s="153"/>
      <c r="E21" s="197">
        <v>6670.31</v>
      </c>
      <c r="F21" s="190"/>
    </row>
    <row r="22" spans="1:10" x14ac:dyDescent="0.25">
      <c r="A22" s="52"/>
      <c r="C22" s="39"/>
      <c r="D22" s="40"/>
      <c r="E22" s="189"/>
      <c r="F22" s="190"/>
    </row>
    <row r="23" spans="1:10" x14ac:dyDescent="0.25">
      <c r="A23" s="49" t="s">
        <v>123</v>
      </c>
      <c r="B23" s="26" t="s">
        <v>124</v>
      </c>
      <c r="C23" s="154"/>
      <c r="D23" s="45">
        <f>SUM(C24)</f>
        <v>0</v>
      </c>
      <c r="E23" s="193"/>
      <c r="F23" s="192">
        <f>SUM(E24)</f>
        <v>535.99</v>
      </c>
      <c r="G23" s="43">
        <f>F23-D23</f>
        <v>535.99</v>
      </c>
    </row>
    <row r="24" spans="1:10" s="4" customFormat="1" x14ac:dyDescent="0.25">
      <c r="A24" s="52"/>
      <c r="B24" s="28" t="s">
        <v>282</v>
      </c>
      <c r="C24" s="91">
        <v>0</v>
      </c>
      <c r="D24" s="40"/>
      <c r="E24" s="193">
        <v>535.99</v>
      </c>
      <c r="F24" s="190"/>
      <c r="G24" s="22"/>
    </row>
    <row r="25" spans="1:10" s="4" customFormat="1" x14ac:dyDescent="0.25">
      <c r="A25" s="52"/>
      <c r="B25" s="28"/>
      <c r="C25" s="39"/>
      <c r="D25" s="40"/>
      <c r="E25" s="193"/>
      <c r="F25" s="190"/>
      <c r="G25" s="22"/>
    </row>
    <row r="26" spans="1:10" x14ac:dyDescent="0.25">
      <c r="A26" s="49" t="s">
        <v>125</v>
      </c>
      <c r="B26" s="26" t="s">
        <v>128</v>
      </c>
      <c r="C26" s="154"/>
      <c r="D26" s="45">
        <f>SUM(C27:C28)</f>
        <v>6000</v>
      </c>
      <c r="E26" s="193"/>
      <c r="F26" s="192">
        <f>SUM(E27:E28)</f>
        <v>34983.86</v>
      </c>
      <c r="G26" s="43">
        <f>F26-D26</f>
        <v>28983.86</v>
      </c>
      <c r="H26" s="32"/>
      <c r="I26" s="31"/>
      <c r="J26" s="27"/>
    </row>
    <row r="27" spans="1:10" x14ac:dyDescent="0.25">
      <c r="A27" s="52"/>
      <c r="B27" s="28" t="s">
        <v>314</v>
      </c>
      <c r="C27" s="91">
        <v>0</v>
      </c>
      <c r="D27" s="153"/>
      <c r="E27" s="197">
        <v>0</v>
      </c>
      <c r="F27" s="190"/>
      <c r="G27" s="186"/>
    </row>
    <row r="28" spans="1:10" x14ac:dyDescent="0.25">
      <c r="A28" s="52"/>
      <c r="B28" s="28" t="s">
        <v>282</v>
      </c>
      <c r="C28" s="91">
        <v>6000</v>
      </c>
      <c r="D28" s="153"/>
      <c r="E28" s="198">
        <v>34983.86</v>
      </c>
      <c r="F28" s="190"/>
    </row>
    <row r="29" spans="1:10" x14ac:dyDescent="0.25">
      <c r="A29" s="52"/>
      <c r="B29" s="28"/>
      <c r="C29" s="39"/>
      <c r="D29" s="40"/>
      <c r="E29" s="189"/>
      <c r="F29" s="190"/>
    </row>
    <row r="30" spans="1:10" x14ac:dyDescent="0.25">
      <c r="A30" s="49" t="s">
        <v>126</v>
      </c>
      <c r="B30" s="26" t="s">
        <v>129</v>
      </c>
      <c r="C30" s="154"/>
      <c r="D30" s="45">
        <f>SUM(C31:C32)</f>
        <v>8000</v>
      </c>
      <c r="E30" s="193"/>
      <c r="F30" s="192">
        <f>SUM(E31:E32)</f>
        <v>2854.7700000000004</v>
      </c>
      <c r="G30" s="43">
        <f>F30-D30</f>
        <v>-5145.2299999999996</v>
      </c>
    </row>
    <row r="31" spans="1:10" x14ac:dyDescent="0.25">
      <c r="A31" s="52"/>
      <c r="B31" s="28" t="s">
        <v>314</v>
      </c>
      <c r="C31" s="91">
        <v>0</v>
      </c>
      <c r="D31" s="153"/>
      <c r="E31" s="198">
        <v>0</v>
      </c>
      <c r="F31" s="190"/>
    </row>
    <row r="32" spans="1:10" x14ac:dyDescent="0.25">
      <c r="A32" s="52"/>
      <c r="B32" s="28" t="s">
        <v>282</v>
      </c>
      <c r="C32" s="91">
        <v>8000</v>
      </c>
      <c r="D32" s="153"/>
      <c r="E32" s="198">
        <v>2854.7700000000004</v>
      </c>
      <c r="F32" s="190"/>
    </row>
    <row r="33" spans="1:8" x14ac:dyDescent="0.25">
      <c r="A33" s="52"/>
      <c r="B33" s="28"/>
      <c r="C33" s="39"/>
      <c r="D33" s="40"/>
      <c r="E33" s="193"/>
      <c r="F33" s="190"/>
    </row>
    <row r="34" spans="1:8" x14ac:dyDescent="0.25">
      <c r="A34" s="49" t="s">
        <v>127</v>
      </c>
      <c r="B34" s="26" t="s">
        <v>130</v>
      </c>
      <c r="C34" s="154"/>
      <c r="D34" s="45">
        <f>SUM(C35:C36)</f>
        <v>15000</v>
      </c>
      <c r="E34" s="193"/>
      <c r="F34" s="192">
        <f>SUM(E35:E36)</f>
        <v>97975.360000000001</v>
      </c>
      <c r="G34" s="43">
        <f>F34-D34</f>
        <v>82975.360000000001</v>
      </c>
    </row>
    <row r="35" spans="1:8" x14ac:dyDescent="0.25">
      <c r="A35" s="52"/>
      <c r="B35" s="28" t="s">
        <v>314</v>
      </c>
      <c r="C35" s="91">
        <v>0</v>
      </c>
      <c r="D35" s="153"/>
      <c r="E35" s="197">
        <v>6387.26</v>
      </c>
      <c r="F35" s="190"/>
    </row>
    <row r="36" spans="1:8" x14ac:dyDescent="0.25">
      <c r="A36" s="52"/>
      <c r="B36" s="28" t="s">
        <v>282</v>
      </c>
      <c r="C36" s="91">
        <v>15000</v>
      </c>
      <c r="D36" s="153"/>
      <c r="E36" s="198">
        <f>59689.18+31133.65+765.27</f>
        <v>91588.1</v>
      </c>
      <c r="F36" s="190"/>
    </row>
    <row r="37" spans="1:8" x14ac:dyDescent="0.25">
      <c r="A37" s="52"/>
      <c r="B37" s="29"/>
      <c r="C37" s="39"/>
      <c r="D37" s="40"/>
      <c r="E37" s="193"/>
      <c r="F37" s="190"/>
    </row>
    <row r="38" spans="1:8" x14ac:dyDescent="0.25">
      <c r="A38" s="49" t="s">
        <v>88</v>
      </c>
      <c r="B38" s="26" t="s">
        <v>85</v>
      </c>
      <c r="C38" s="154"/>
      <c r="D38" s="45">
        <v>40</v>
      </c>
      <c r="E38" s="193"/>
      <c r="F38" s="192">
        <v>0</v>
      </c>
      <c r="G38" s="43">
        <f>F38-D38</f>
        <v>-40</v>
      </c>
    </row>
    <row r="39" spans="1:8" x14ac:dyDescent="0.25">
      <c r="A39" s="52"/>
      <c r="C39" s="39"/>
      <c r="D39" s="40"/>
      <c r="E39" s="189"/>
      <c r="F39" s="190"/>
    </row>
    <row r="40" spans="1:8" x14ac:dyDescent="0.25">
      <c r="A40" s="49" t="s">
        <v>131</v>
      </c>
      <c r="B40" s="26" t="s">
        <v>132</v>
      </c>
      <c r="C40" s="154"/>
      <c r="D40" s="45">
        <f>SUM(C41:C42)</f>
        <v>12000</v>
      </c>
      <c r="E40" s="193"/>
      <c r="F40" s="192">
        <f>SUM(E41:E42)</f>
        <v>26797.129999999997</v>
      </c>
      <c r="G40" s="43">
        <f>F40-D40</f>
        <v>14797.129999999997</v>
      </c>
    </row>
    <row r="41" spans="1:8" x14ac:dyDescent="0.25">
      <c r="A41" s="52"/>
      <c r="B41" s="28" t="s">
        <v>314</v>
      </c>
      <c r="C41" s="91">
        <v>0</v>
      </c>
      <c r="D41" s="40"/>
      <c r="E41" s="197">
        <v>0</v>
      </c>
      <c r="F41" s="190"/>
    </row>
    <row r="42" spans="1:8" x14ac:dyDescent="0.25">
      <c r="A42" s="52"/>
      <c r="B42" s="28" t="s">
        <v>282</v>
      </c>
      <c r="C42" s="91">
        <v>12000</v>
      </c>
      <c r="D42" s="40"/>
      <c r="E42" s="198">
        <f>19062.3+7734.83</f>
        <v>26797.129999999997</v>
      </c>
      <c r="F42" s="190"/>
      <c r="H42" s="22"/>
    </row>
    <row r="43" spans="1:8" x14ac:dyDescent="0.25">
      <c r="A43" s="52"/>
      <c r="B43" s="29"/>
      <c r="C43" s="39"/>
      <c r="D43" s="40"/>
      <c r="E43" s="189"/>
      <c r="F43" s="190"/>
    </row>
    <row r="44" spans="1:8" x14ac:dyDescent="0.25">
      <c r="A44" s="49" t="s">
        <v>166</v>
      </c>
      <c r="B44" s="26" t="s">
        <v>242</v>
      </c>
      <c r="C44" s="39"/>
      <c r="D44" s="45">
        <v>0</v>
      </c>
      <c r="E44" s="189"/>
      <c r="F44" s="192">
        <v>0</v>
      </c>
      <c r="G44" s="43">
        <f>F44-D44</f>
        <v>0</v>
      </c>
    </row>
    <row r="45" spans="1:8" x14ac:dyDescent="0.25">
      <c r="A45" s="52"/>
      <c r="B45" s="29"/>
      <c r="C45" s="39"/>
      <c r="D45" s="45"/>
      <c r="E45" s="189"/>
      <c r="F45" s="190"/>
    </row>
    <row r="46" spans="1:8" s="6" customFormat="1" x14ac:dyDescent="0.25">
      <c r="A46" s="49" t="s">
        <v>165</v>
      </c>
      <c r="B46" s="26" t="s">
        <v>243</v>
      </c>
      <c r="C46" s="39"/>
      <c r="D46" s="45">
        <v>0</v>
      </c>
      <c r="E46" s="189"/>
      <c r="F46" s="192">
        <v>0</v>
      </c>
      <c r="G46" s="43">
        <f>F46-D46</f>
        <v>0</v>
      </c>
    </row>
    <row r="47" spans="1:8" x14ac:dyDescent="0.25">
      <c r="A47" s="52"/>
      <c r="B47" s="29"/>
      <c r="C47" s="39"/>
      <c r="D47" s="45"/>
      <c r="E47" s="193"/>
      <c r="F47" s="190"/>
    </row>
    <row r="48" spans="1:8" x14ac:dyDescent="0.25">
      <c r="A48" s="49" t="s">
        <v>133</v>
      </c>
      <c r="B48" s="26" t="s">
        <v>134</v>
      </c>
      <c r="C48" s="154"/>
      <c r="D48" s="45">
        <v>0</v>
      </c>
      <c r="E48" s="193"/>
      <c r="F48" s="192">
        <f>SUM(E49:E50)</f>
        <v>3828.4700000000003</v>
      </c>
      <c r="G48" s="43">
        <f>F48-D48</f>
        <v>3828.4700000000003</v>
      </c>
    </row>
    <row r="49" spans="1:9" s="13" customFormat="1" x14ac:dyDescent="0.25">
      <c r="A49" s="52"/>
      <c r="B49" s="29" t="s">
        <v>314</v>
      </c>
      <c r="C49" s="39"/>
      <c r="D49" s="45"/>
      <c r="E49" s="189">
        <f>285+166.84</f>
        <v>451.84000000000003</v>
      </c>
      <c r="F49" s="192"/>
      <c r="G49" s="22"/>
      <c r="H49" s="22"/>
    </row>
    <row r="50" spans="1:9" x14ac:dyDescent="0.25">
      <c r="A50" s="52"/>
      <c r="B50" s="28" t="s">
        <v>282</v>
      </c>
      <c r="C50" s="91">
        <v>0</v>
      </c>
      <c r="D50" s="153"/>
      <c r="E50" s="198">
        <f>140+3236.63</f>
        <v>3376.63</v>
      </c>
      <c r="F50" s="190"/>
    </row>
    <row r="51" spans="1:9" s="6" customFormat="1" ht="15.75" thickBot="1" x14ac:dyDescent="0.3">
      <c r="A51" s="81" t="s">
        <v>154</v>
      </c>
      <c r="B51" s="82" t="s">
        <v>179</v>
      </c>
      <c r="C51" s="83"/>
      <c r="D51" s="84">
        <f>SUM(D18:D50)</f>
        <v>44040</v>
      </c>
      <c r="E51" s="83"/>
      <c r="F51" s="84">
        <f>SUM(F18:F50)</f>
        <v>173645.89</v>
      </c>
      <c r="G51" s="43">
        <f>F51-D51</f>
        <v>129605.89000000001</v>
      </c>
    </row>
    <row r="52" spans="1:9" s="71" customFormat="1" ht="15.75" thickBot="1" x14ac:dyDescent="0.3">
      <c r="A52" s="66"/>
      <c r="B52" s="67"/>
      <c r="C52" s="69"/>
      <c r="D52" s="70"/>
      <c r="E52" s="69"/>
      <c r="F52" s="70"/>
      <c r="G52" s="68"/>
    </row>
    <row r="53" spans="1:9" s="6" customFormat="1" x14ac:dyDescent="0.25">
      <c r="A53" s="93" t="s">
        <v>74</v>
      </c>
      <c r="B53" s="94" t="s">
        <v>228</v>
      </c>
      <c r="C53" s="62"/>
      <c r="D53" s="60"/>
      <c r="E53" s="199"/>
      <c r="F53" s="196"/>
      <c r="G53" s="22"/>
    </row>
    <row r="54" spans="1:9" x14ac:dyDescent="0.25">
      <c r="A54" s="49" t="s">
        <v>89</v>
      </c>
      <c r="B54" s="26" t="s">
        <v>229</v>
      </c>
      <c r="C54" s="154"/>
      <c r="D54" s="45">
        <v>480000</v>
      </c>
      <c r="E54" s="193"/>
      <c r="F54" s="192">
        <f>1222151.21-(28000+30000+17743.22)</f>
        <v>1146407.99</v>
      </c>
      <c r="G54" s="43">
        <f>F54-D54</f>
        <v>666407.99</v>
      </c>
    </row>
    <row r="55" spans="1:9" x14ac:dyDescent="0.25">
      <c r="A55" s="52"/>
      <c r="B55" s="28"/>
      <c r="C55" s="39"/>
      <c r="D55" s="45"/>
      <c r="E55" s="193"/>
      <c r="F55" s="192"/>
    </row>
    <row r="56" spans="1:9" s="13" customFormat="1" x14ac:dyDescent="0.25">
      <c r="A56" s="49" t="s">
        <v>182</v>
      </c>
      <c r="B56" s="26" t="s">
        <v>183</v>
      </c>
      <c r="C56" s="154"/>
      <c r="D56" s="45">
        <v>28000</v>
      </c>
      <c r="E56" s="193"/>
      <c r="F56" s="192">
        <v>28000</v>
      </c>
      <c r="G56" s="43">
        <f>F56-D56</f>
        <v>0</v>
      </c>
    </row>
    <row r="57" spans="1:9" s="13" customFormat="1" x14ac:dyDescent="0.25">
      <c r="A57" s="52"/>
      <c r="B57" s="28"/>
      <c r="C57" s="39"/>
      <c r="D57" s="45"/>
      <c r="E57" s="193"/>
      <c r="F57" s="192"/>
      <c r="G57" s="22"/>
    </row>
    <row r="58" spans="1:9" x14ac:dyDescent="0.25">
      <c r="A58" s="49" t="s">
        <v>90</v>
      </c>
      <c r="B58" s="26" t="s">
        <v>240</v>
      </c>
      <c r="C58" s="154"/>
      <c r="D58" s="45">
        <f>SUM(C59:C60)</f>
        <v>60000</v>
      </c>
      <c r="E58" s="193"/>
      <c r="F58" s="192">
        <f>SUM(E59:E60)</f>
        <v>47743.22</v>
      </c>
      <c r="G58" s="43">
        <f>F58-D58</f>
        <v>-12256.779999999999</v>
      </c>
    </row>
    <row r="59" spans="1:9" x14ac:dyDescent="0.25">
      <c r="A59" s="52"/>
      <c r="B59" s="28" t="s">
        <v>234</v>
      </c>
      <c r="C59" s="91">
        <v>30000</v>
      </c>
      <c r="D59" s="153"/>
      <c r="E59" s="197">
        <v>30000</v>
      </c>
      <c r="F59" s="192"/>
    </row>
    <row r="60" spans="1:9" x14ac:dyDescent="0.25">
      <c r="A60" s="52"/>
      <c r="B60" s="28" t="s">
        <v>13</v>
      </c>
      <c r="C60" s="91">
        <v>30000</v>
      </c>
      <c r="D60" s="153"/>
      <c r="E60" s="197">
        <v>17743.219999999998</v>
      </c>
      <c r="F60" s="192"/>
      <c r="H60" s="13"/>
    </row>
    <row r="61" spans="1:9" x14ac:dyDescent="0.25">
      <c r="A61" s="52"/>
      <c r="B61" s="28"/>
      <c r="C61" s="39"/>
      <c r="D61" s="40"/>
      <c r="E61" s="193"/>
      <c r="F61" s="190"/>
    </row>
    <row r="62" spans="1:9" s="6" customFormat="1" ht="15.75" thickBot="1" x14ac:dyDescent="0.3">
      <c r="A62" s="81" t="s">
        <v>155</v>
      </c>
      <c r="B62" s="82" t="s">
        <v>333</v>
      </c>
      <c r="C62" s="86"/>
      <c r="D62" s="87">
        <f>SUM(D54:D58)</f>
        <v>568000</v>
      </c>
      <c r="E62" s="155"/>
      <c r="F62" s="87">
        <f>SUM(F54:F58)</f>
        <v>1222151.21</v>
      </c>
      <c r="G62" s="43">
        <f>F62-D62</f>
        <v>654151.21</v>
      </c>
      <c r="H62" s="77"/>
    </row>
    <row r="63" spans="1:9" s="71" customFormat="1" ht="15.75" thickBot="1" x14ac:dyDescent="0.3">
      <c r="A63" s="66"/>
      <c r="B63" s="67"/>
      <c r="C63" s="69"/>
      <c r="D63" s="70"/>
      <c r="E63" s="69"/>
      <c r="F63" s="70"/>
      <c r="G63" s="68"/>
    </row>
    <row r="64" spans="1:9" x14ac:dyDescent="0.25">
      <c r="A64" s="93" t="s">
        <v>96</v>
      </c>
      <c r="B64" s="94" t="s">
        <v>97</v>
      </c>
      <c r="C64" s="47"/>
      <c r="D64" s="156"/>
      <c r="E64" s="191"/>
      <c r="F64" s="200"/>
      <c r="H64" s="7"/>
      <c r="I64" s="9"/>
    </row>
    <row r="65" spans="1:13" x14ac:dyDescent="0.25">
      <c r="A65" s="49" t="s">
        <v>20</v>
      </c>
      <c r="B65" s="26" t="s">
        <v>21</v>
      </c>
      <c r="C65" s="154">
        <v>970750</v>
      </c>
      <c r="D65" s="78"/>
      <c r="E65" s="193">
        <v>1054975.8</v>
      </c>
      <c r="F65" s="190"/>
      <c r="G65" s="43">
        <f t="shared" ref="G65:G71" si="0">E65-C65</f>
        <v>84225.800000000047</v>
      </c>
    </row>
    <row r="66" spans="1:13" x14ac:dyDescent="0.25">
      <c r="A66" s="49" t="s">
        <v>22</v>
      </c>
      <c r="B66" s="26" t="s">
        <v>23</v>
      </c>
      <c r="C66" s="154">
        <f>2.5*28400+2.55*28400</f>
        <v>143420</v>
      </c>
      <c r="D66" s="78"/>
      <c r="E66" s="193">
        <v>147420.6</v>
      </c>
      <c r="F66" s="190"/>
      <c r="G66" s="43">
        <f t="shared" si="0"/>
        <v>4000.6000000000058</v>
      </c>
      <c r="I66" s="13"/>
    </row>
    <row r="67" spans="1:13" x14ac:dyDescent="0.25">
      <c r="A67" s="49" t="s">
        <v>25</v>
      </c>
      <c r="B67" s="26" t="s">
        <v>191</v>
      </c>
      <c r="C67" s="154">
        <v>0</v>
      </c>
      <c r="D67" s="78"/>
      <c r="E67" s="193">
        <v>0</v>
      </c>
      <c r="F67" s="190"/>
      <c r="G67" s="43">
        <f t="shared" si="0"/>
        <v>0</v>
      </c>
    </row>
    <row r="68" spans="1:13" x14ac:dyDescent="0.25">
      <c r="A68" s="49" t="s">
        <v>135</v>
      </c>
      <c r="B68" s="26" t="s">
        <v>114</v>
      </c>
      <c r="C68" s="154">
        <v>0</v>
      </c>
      <c r="D68" s="78"/>
      <c r="E68" s="193">
        <v>0</v>
      </c>
      <c r="F68" s="190"/>
      <c r="G68" s="43">
        <f t="shared" si="0"/>
        <v>0</v>
      </c>
    </row>
    <row r="69" spans="1:13" ht="14.25" customHeight="1" x14ac:dyDescent="0.25">
      <c r="A69" s="49" t="s">
        <v>164</v>
      </c>
      <c r="B69" s="26" t="s">
        <v>247</v>
      </c>
      <c r="C69" s="154">
        <v>2300</v>
      </c>
      <c r="D69" s="78"/>
      <c r="E69" s="193">
        <v>720</v>
      </c>
      <c r="F69" s="190"/>
      <c r="G69" s="43">
        <f t="shared" si="0"/>
        <v>-1580</v>
      </c>
    </row>
    <row r="70" spans="1:13" s="13" customFormat="1" ht="14.25" customHeight="1" x14ac:dyDescent="0.25">
      <c r="A70" s="49" t="s">
        <v>189</v>
      </c>
      <c r="B70" s="26" t="s">
        <v>190</v>
      </c>
      <c r="C70" s="39">
        <v>0</v>
      </c>
      <c r="D70" s="78"/>
      <c r="E70" s="193">
        <v>0</v>
      </c>
      <c r="F70" s="190"/>
      <c r="G70" s="43">
        <f t="shared" si="0"/>
        <v>0</v>
      </c>
      <c r="H70" s="43"/>
    </row>
    <row r="71" spans="1:13" s="13" customFormat="1" ht="14.25" customHeight="1" x14ac:dyDescent="0.25">
      <c r="A71" s="95" t="s">
        <v>246</v>
      </c>
      <c r="B71" s="26" t="s">
        <v>245</v>
      </c>
      <c r="C71" s="154">
        <f>28400*2*2.5</f>
        <v>142000</v>
      </c>
      <c r="D71" s="78"/>
      <c r="E71" s="193">
        <v>144530</v>
      </c>
      <c r="F71" s="190"/>
      <c r="G71" s="43">
        <f t="shared" si="0"/>
        <v>2530</v>
      </c>
      <c r="H71" s="43"/>
    </row>
    <row r="72" spans="1:13" x14ac:dyDescent="0.25">
      <c r="A72" s="54"/>
      <c r="B72" s="30"/>
      <c r="C72" s="39"/>
      <c r="D72" s="78"/>
      <c r="E72" s="193"/>
      <c r="F72" s="190"/>
      <c r="H72" s="43"/>
    </row>
    <row r="73" spans="1:13" s="6" customFormat="1" ht="15.75" thickBot="1" x14ac:dyDescent="0.3">
      <c r="A73" s="81" t="s">
        <v>152</v>
      </c>
      <c r="B73" s="82" t="s">
        <v>97</v>
      </c>
      <c r="C73" s="86"/>
      <c r="D73" s="86">
        <f>SUM(C65:C71)</f>
        <v>1258470</v>
      </c>
      <c r="E73" s="155"/>
      <c r="F73" s="87">
        <f>SUM(E65:E71)</f>
        <v>1347646.4000000001</v>
      </c>
      <c r="G73" s="43">
        <f>F73-D73</f>
        <v>89176.40000000014</v>
      </c>
      <c r="H73" s="43"/>
    </row>
    <row r="74" spans="1:13" s="71" customFormat="1" ht="15.75" thickBot="1" x14ac:dyDescent="0.3">
      <c r="A74" s="66"/>
      <c r="B74" s="67"/>
      <c r="C74" s="68"/>
      <c r="D74" s="67"/>
      <c r="E74" s="68"/>
      <c r="F74" s="67"/>
      <c r="G74" s="68"/>
      <c r="H74" s="68"/>
      <c r="M74" s="75"/>
    </row>
    <row r="75" spans="1:13" s="13" customFormat="1" x14ac:dyDescent="0.25">
      <c r="A75" s="58" t="s">
        <v>236</v>
      </c>
      <c r="B75" s="64"/>
      <c r="C75" s="47"/>
      <c r="D75" s="48"/>
      <c r="E75" s="201"/>
      <c r="F75" s="200"/>
      <c r="G75" s="22"/>
      <c r="H75" s="43"/>
    </row>
    <row r="76" spans="1:13" ht="20.25" x14ac:dyDescent="0.3">
      <c r="A76" s="52" t="s">
        <v>144</v>
      </c>
      <c r="B76" s="5" t="s">
        <v>145</v>
      </c>
      <c r="C76" s="39"/>
      <c r="D76" s="42">
        <f>SUM(D16,D51)</f>
        <v>612040</v>
      </c>
      <c r="E76" s="189"/>
      <c r="F76" s="202">
        <f>SUM(F16,F51)</f>
        <v>751275.89</v>
      </c>
      <c r="G76" s="43">
        <f>F76-D76</f>
        <v>139235.89000000001</v>
      </c>
      <c r="H76" s="44"/>
    </row>
    <row r="77" spans="1:13" x14ac:dyDescent="0.25">
      <c r="A77" s="52" t="s">
        <v>144</v>
      </c>
      <c r="B77" s="33" t="s">
        <v>336</v>
      </c>
      <c r="C77" s="39"/>
      <c r="D77" s="45">
        <f>SUM(D76+D73)</f>
        <v>1870510</v>
      </c>
      <c r="E77" s="189"/>
      <c r="F77" s="192">
        <f>SUM(F73,F51,F16)</f>
        <v>2098922.29</v>
      </c>
      <c r="G77" s="43">
        <f>F77-D77</f>
        <v>228412.29000000004</v>
      </c>
      <c r="H77" s="4"/>
    </row>
    <row r="78" spans="1:13" ht="15.75" thickBot="1" x14ac:dyDescent="0.3">
      <c r="A78" s="65"/>
      <c r="B78" s="55"/>
      <c r="C78" s="53"/>
      <c r="D78" s="57"/>
      <c r="E78" s="203"/>
      <c r="F78" s="204"/>
      <c r="G78" s="56"/>
    </row>
    <row r="79" spans="1:13" s="71" customFormat="1" ht="15.75" thickBot="1" x14ac:dyDescent="0.3">
      <c r="A79" s="220" t="s">
        <v>24</v>
      </c>
      <c r="B79" s="220"/>
      <c r="C79" s="69"/>
      <c r="D79" s="76"/>
      <c r="E79" s="69"/>
      <c r="F79" s="76"/>
      <c r="G79" s="74"/>
    </row>
    <row r="80" spans="1:13" s="6" customFormat="1" x14ac:dyDescent="0.25">
      <c r="A80" s="93" t="s">
        <v>2</v>
      </c>
      <c r="B80" s="94" t="s">
        <v>3</v>
      </c>
      <c r="C80" s="47"/>
      <c r="D80" s="45"/>
      <c r="E80" s="191"/>
      <c r="F80" s="192"/>
      <c r="G80" s="22"/>
    </row>
    <row r="81" spans="1:7" x14ac:dyDescent="0.25">
      <c r="A81" s="49" t="s">
        <v>92</v>
      </c>
      <c r="B81" s="26" t="s">
        <v>4</v>
      </c>
      <c r="C81" s="154"/>
      <c r="D81" s="45">
        <v>160000</v>
      </c>
      <c r="E81" s="193"/>
      <c r="F81" s="192">
        <v>121225.31</v>
      </c>
      <c r="G81" s="22">
        <f>D81-F81</f>
        <v>38774.69</v>
      </c>
    </row>
    <row r="82" spans="1:7" s="13" customFormat="1" x14ac:dyDescent="0.25">
      <c r="A82" s="95"/>
      <c r="B82" s="177"/>
      <c r="C82" s="39"/>
      <c r="D82" s="45"/>
      <c r="E82" s="193"/>
      <c r="F82" s="192"/>
      <c r="G82" s="22"/>
    </row>
    <row r="83" spans="1:7" s="2" customFormat="1" x14ac:dyDescent="0.25">
      <c r="A83" s="108" t="s">
        <v>192</v>
      </c>
      <c r="B83" s="16" t="s">
        <v>193</v>
      </c>
      <c r="C83" s="59"/>
      <c r="D83" s="45">
        <f>SUM(C84:C85)</f>
        <v>88800</v>
      </c>
      <c r="E83" s="205"/>
      <c r="F83" s="192">
        <f>SUM(E84:E85)</f>
        <v>57705.01</v>
      </c>
      <c r="G83" s="22">
        <f>D83-F83</f>
        <v>31094.989999999998</v>
      </c>
    </row>
    <row r="84" spans="1:7" x14ac:dyDescent="0.25">
      <c r="A84" s="157" t="s">
        <v>5</v>
      </c>
      <c r="B84" s="158" t="s">
        <v>6</v>
      </c>
      <c r="C84" s="161">
        <v>12000</v>
      </c>
      <c r="D84" s="45"/>
      <c r="E84" s="197">
        <v>12000</v>
      </c>
      <c r="F84" s="192"/>
      <c r="G84" s="188">
        <f>C84-E84</f>
        <v>0</v>
      </c>
    </row>
    <row r="85" spans="1:7" x14ac:dyDescent="0.25">
      <c r="A85" s="157" t="s">
        <v>75</v>
      </c>
      <c r="B85" s="158" t="s">
        <v>8</v>
      </c>
      <c r="C85" s="161">
        <v>76800</v>
      </c>
      <c r="D85" s="45"/>
      <c r="E85" s="197">
        <v>45705.01</v>
      </c>
      <c r="F85" s="192"/>
      <c r="G85" s="188">
        <f>C85-E85</f>
        <v>31094.989999999998</v>
      </c>
    </row>
    <row r="86" spans="1:7" s="13" customFormat="1" x14ac:dyDescent="0.25">
      <c r="A86" s="159" t="s">
        <v>315</v>
      </c>
      <c r="B86" s="158" t="s">
        <v>316</v>
      </c>
      <c r="C86" s="91">
        <v>0</v>
      </c>
      <c r="D86" s="45"/>
      <c r="E86" s="198">
        <v>302.67</v>
      </c>
      <c r="F86" s="192"/>
      <c r="G86" s="188">
        <f>C86-E86</f>
        <v>-302.67</v>
      </c>
    </row>
    <row r="87" spans="1:7" x14ac:dyDescent="0.25">
      <c r="A87" s="52"/>
      <c r="B87" s="97" t="s">
        <v>251</v>
      </c>
      <c r="C87" s="39"/>
      <c r="D87" s="45"/>
      <c r="E87" s="198"/>
      <c r="F87" s="192"/>
    </row>
    <row r="88" spans="1:7" s="13" customFormat="1" x14ac:dyDescent="0.25">
      <c r="A88" s="49" t="s">
        <v>195</v>
      </c>
      <c r="B88" s="38" t="s">
        <v>194</v>
      </c>
      <c r="C88" s="39"/>
      <c r="D88" s="45">
        <f>SUM(C89:C90)</f>
        <v>4100</v>
      </c>
      <c r="E88" s="197"/>
      <c r="F88" s="192">
        <f>SUM(E89:E90)</f>
        <v>6720</v>
      </c>
      <c r="G88" s="22">
        <f>D88-F88</f>
        <v>-2620</v>
      </c>
    </row>
    <row r="89" spans="1:7" x14ac:dyDescent="0.25">
      <c r="A89" s="159" t="s">
        <v>76</v>
      </c>
      <c r="B89" s="158" t="s">
        <v>244</v>
      </c>
      <c r="C89" s="161">
        <v>3600</v>
      </c>
      <c r="D89" s="45"/>
      <c r="E89" s="197">
        <v>6510</v>
      </c>
      <c r="F89" s="192"/>
      <c r="G89" s="188">
        <f>C89-E89</f>
        <v>-2910</v>
      </c>
    </row>
    <row r="90" spans="1:7" x14ac:dyDescent="0.25">
      <c r="A90" s="159" t="s">
        <v>77</v>
      </c>
      <c r="B90" s="158" t="s">
        <v>7</v>
      </c>
      <c r="C90" s="161">
        <v>500</v>
      </c>
      <c r="D90" s="45"/>
      <c r="E90" s="197">
        <v>210</v>
      </c>
      <c r="F90" s="192"/>
      <c r="G90" s="188">
        <f>C90-E90</f>
        <v>290</v>
      </c>
    </row>
    <row r="91" spans="1:7" s="13" customFormat="1" x14ac:dyDescent="0.25">
      <c r="A91" s="179"/>
      <c r="B91" s="180"/>
      <c r="C91" s="91"/>
      <c r="D91" s="45"/>
      <c r="E91" s="193"/>
      <c r="F91" s="192"/>
      <c r="G91" s="22"/>
    </row>
    <row r="92" spans="1:7" s="2" customFormat="1" x14ac:dyDescent="0.25">
      <c r="A92" s="109" t="s">
        <v>196</v>
      </c>
      <c r="B92" s="16" t="s">
        <v>197</v>
      </c>
      <c r="C92" s="163"/>
      <c r="D92" s="45">
        <v>9750</v>
      </c>
      <c r="E92" s="206"/>
      <c r="F92" s="192">
        <f>SUM(E93:E94)</f>
        <v>7375.58</v>
      </c>
      <c r="G92" s="22">
        <f>D92-F92</f>
        <v>2374.42</v>
      </c>
    </row>
    <row r="93" spans="1:7" x14ac:dyDescent="0.25">
      <c r="A93" s="159" t="s">
        <v>102</v>
      </c>
      <c r="B93" s="158" t="s">
        <v>200</v>
      </c>
      <c r="C93" s="161"/>
      <c r="D93" s="160"/>
      <c r="E93" s="197">
        <v>7125.58</v>
      </c>
      <c r="F93" s="192"/>
    </row>
    <row r="94" spans="1:7" x14ac:dyDescent="0.25">
      <c r="A94" s="159" t="s">
        <v>198</v>
      </c>
      <c r="B94" s="158" t="s">
        <v>199</v>
      </c>
      <c r="C94" s="91"/>
      <c r="D94" s="160"/>
      <c r="E94" s="197">
        <v>250</v>
      </c>
      <c r="F94" s="192"/>
    </row>
    <row r="95" spans="1:7" s="13" customFormat="1" x14ac:dyDescent="0.25">
      <c r="A95" s="181"/>
      <c r="B95" s="177"/>
      <c r="C95" s="39"/>
      <c r="D95" s="45"/>
      <c r="E95" s="193"/>
      <c r="F95" s="192"/>
      <c r="G95" s="22"/>
    </row>
    <row r="96" spans="1:7" s="2" customFormat="1" x14ac:dyDescent="0.25">
      <c r="A96" s="109" t="s">
        <v>204</v>
      </c>
      <c r="B96" s="16" t="s">
        <v>205</v>
      </c>
      <c r="C96" s="59"/>
      <c r="D96" s="45">
        <f>SUM(C97:C98)</f>
        <v>11100</v>
      </c>
      <c r="E96" s="206"/>
      <c r="F96" s="192">
        <f>SUM(E97:E98)</f>
        <v>7049.46</v>
      </c>
      <c r="G96" s="22">
        <f>D96-F96</f>
        <v>4050.54</v>
      </c>
    </row>
    <row r="97" spans="1:18" s="13" customFormat="1" x14ac:dyDescent="0.25">
      <c r="A97" s="159" t="s">
        <v>317</v>
      </c>
      <c r="B97" s="158" t="s">
        <v>203</v>
      </c>
      <c r="C97" s="162">
        <v>2100</v>
      </c>
      <c r="D97" s="160"/>
      <c r="E97" s="207">
        <v>2409.46</v>
      </c>
      <c r="F97" s="192"/>
      <c r="G97" s="188">
        <f>C97-E97</f>
        <v>-309.46000000000004</v>
      </c>
    </row>
    <row r="98" spans="1:18" s="13" customFormat="1" x14ac:dyDescent="0.25">
      <c r="A98" s="159" t="s">
        <v>201</v>
      </c>
      <c r="B98" s="158" t="s">
        <v>202</v>
      </c>
      <c r="C98" s="161">
        <v>9000</v>
      </c>
      <c r="D98" s="160"/>
      <c r="E98" s="197">
        <v>4640</v>
      </c>
      <c r="F98" s="192"/>
      <c r="G98" s="188">
        <f>C98-E98</f>
        <v>4360</v>
      </c>
    </row>
    <row r="99" spans="1:18" x14ac:dyDescent="0.25">
      <c r="A99" s="52"/>
      <c r="B99" s="29"/>
      <c r="C99" s="39"/>
      <c r="D99" s="45"/>
      <c r="E99" s="193"/>
      <c r="F99" s="192"/>
    </row>
    <row r="100" spans="1:18" s="6" customFormat="1" ht="15.75" thickBot="1" x14ac:dyDescent="0.3">
      <c r="A100" s="81" t="s">
        <v>146</v>
      </c>
      <c r="B100" s="82" t="s">
        <v>3</v>
      </c>
      <c r="C100" s="83"/>
      <c r="D100" s="88">
        <f>SUM(D80:D99)</f>
        <v>273750</v>
      </c>
      <c r="E100" s="83"/>
      <c r="F100" s="88">
        <f>SUM(F80:F99)</f>
        <v>200075.36</v>
      </c>
      <c r="G100" s="22">
        <f>D100-F100</f>
        <v>73674.640000000014</v>
      </c>
      <c r="H100" s="63"/>
    </row>
    <row r="101" spans="1:18" s="71" customFormat="1" ht="15.75" thickBot="1" x14ac:dyDescent="0.3">
      <c r="A101" s="66"/>
      <c r="B101" s="67"/>
      <c r="C101" s="69"/>
      <c r="D101" s="70"/>
      <c r="E101" s="69"/>
      <c r="F101" s="70"/>
      <c r="G101" s="68"/>
    </row>
    <row r="102" spans="1:18" s="6" customFormat="1" x14ac:dyDescent="0.25">
      <c r="A102" s="93" t="s">
        <v>9</v>
      </c>
      <c r="B102" s="94" t="s">
        <v>57</v>
      </c>
      <c r="C102" s="47"/>
      <c r="D102" s="39"/>
      <c r="E102" s="191"/>
      <c r="F102" s="192"/>
      <c r="G102" s="23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</row>
    <row r="103" spans="1:18" s="2" customFormat="1" x14ac:dyDescent="0.25">
      <c r="A103" s="109" t="s">
        <v>206</v>
      </c>
      <c r="B103" s="110" t="s">
        <v>207</v>
      </c>
      <c r="C103" s="163"/>
      <c r="D103" s="39">
        <f>SUM(C104:C110)</f>
        <v>48400</v>
      </c>
      <c r="E103" s="193"/>
      <c r="F103" s="192">
        <f>SUM(E104:E110)</f>
        <v>48495.67</v>
      </c>
      <c r="G103" s="22">
        <f>D103-F103</f>
        <v>-95.669999999998254</v>
      </c>
    </row>
    <row r="104" spans="1:18" x14ac:dyDescent="0.25">
      <c r="A104" s="157" t="s">
        <v>64</v>
      </c>
      <c r="B104" s="158" t="s">
        <v>59</v>
      </c>
      <c r="C104" s="161">
        <v>25000</v>
      </c>
      <c r="D104" s="39"/>
      <c r="E104" s="197">
        <v>21601.54</v>
      </c>
      <c r="F104" s="192"/>
      <c r="G104" s="188">
        <f t="shared" ref="G104:G110" si="1">C104-E104</f>
        <v>3398.4599999999991</v>
      </c>
    </row>
    <row r="105" spans="1:18" x14ac:dyDescent="0.25">
      <c r="A105" s="157" t="s">
        <v>65</v>
      </c>
      <c r="B105" s="158" t="s">
        <v>71</v>
      </c>
      <c r="C105" s="161">
        <v>2000</v>
      </c>
      <c r="D105" s="39"/>
      <c r="E105" s="197">
        <v>853</v>
      </c>
      <c r="F105" s="192"/>
      <c r="G105" s="188">
        <f t="shared" si="1"/>
        <v>1147</v>
      </c>
    </row>
    <row r="106" spans="1:18" x14ac:dyDescent="0.25">
      <c r="A106" s="157" t="s">
        <v>66</v>
      </c>
      <c r="B106" s="158" t="s">
        <v>60</v>
      </c>
      <c r="C106" s="161">
        <v>12000</v>
      </c>
      <c r="D106" s="39"/>
      <c r="E106" s="197">
        <v>22451.79</v>
      </c>
      <c r="F106" s="192"/>
      <c r="G106" s="188">
        <f t="shared" si="1"/>
        <v>-10451.790000000001</v>
      </c>
    </row>
    <row r="107" spans="1:18" x14ac:dyDescent="0.25">
      <c r="A107" s="157" t="s">
        <v>67</v>
      </c>
      <c r="B107" s="158" t="s">
        <v>58</v>
      </c>
      <c r="C107" s="161">
        <v>1800</v>
      </c>
      <c r="D107" s="39"/>
      <c r="E107" s="197">
        <v>38</v>
      </c>
      <c r="F107" s="192"/>
      <c r="G107" s="188">
        <f t="shared" si="1"/>
        <v>1762</v>
      </c>
    </row>
    <row r="108" spans="1:18" x14ac:dyDescent="0.25">
      <c r="A108" s="157" t="s">
        <v>68</v>
      </c>
      <c r="B108" s="158" t="s">
        <v>61</v>
      </c>
      <c r="C108" s="161">
        <v>5000</v>
      </c>
      <c r="D108" s="39"/>
      <c r="E108" s="197">
        <v>1670.81</v>
      </c>
      <c r="F108" s="192"/>
      <c r="G108" s="188">
        <f t="shared" si="1"/>
        <v>3329.19</v>
      </c>
    </row>
    <row r="109" spans="1:18" x14ac:dyDescent="0.25">
      <c r="A109" s="157" t="s">
        <v>69</v>
      </c>
      <c r="B109" s="158" t="s">
        <v>62</v>
      </c>
      <c r="C109" s="161">
        <v>1200</v>
      </c>
      <c r="D109" s="39"/>
      <c r="E109" s="197">
        <v>1123.46</v>
      </c>
      <c r="F109" s="192"/>
      <c r="G109" s="188">
        <f t="shared" si="1"/>
        <v>76.539999999999964</v>
      </c>
    </row>
    <row r="110" spans="1:18" x14ac:dyDescent="0.25">
      <c r="A110" s="157" t="s">
        <v>80</v>
      </c>
      <c r="B110" s="158" t="s">
        <v>70</v>
      </c>
      <c r="C110" s="161">
        <v>1400</v>
      </c>
      <c r="D110" s="39"/>
      <c r="E110" s="197">
        <v>757.07</v>
      </c>
      <c r="F110" s="192"/>
      <c r="G110" s="188">
        <f t="shared" si="1"/>
        <v>642.92999999999995</v>
      </c>
    </row>
    <row r="111" spans="1:18" x14ac:dyDescent="0.25">
      <c r="A111" s="52"/>
      <c r="B111" s="28"/>
      <c r="C111" s="39"/>
      <c r="D111" s="39"/>
      <c r="E111" s="193"/>
      <c r="F111" s="192"/>
    </row>
    <row r="112" spans="1:18" x14ac:dyDescent="0.25">
      <c r="A112" s="49" t="s">
        <v>84</v>
      </c>
      <c r="B112" s="26" t="s">
        <v>94</v>
      </c>
      <c r="C112" s="154"/>
      <c r="D112" s="39">
        <v>7500</v>
      </c>
      <c r="E112" s="193"/>
      <c r="F112" s="192">
        <v>2768.74</v>
      </c>
      <c r="G112" s="22">
        <f>D112-F112</f>
        <v>4731.26</v>
      </c>
    </row>
    <row r="113" spans="1:9" s="13" customFormat="1" x14ac:dyDescent="0.25">
      <c r="A113" s="175" t="s">
        <v>255</v>
      </c>
      <c r="B113" s="28" t="s">
        <v>313</v>
      </c>
      <c r="C113" s="39"/>
      <c r="D113" s="39"/>
      <c r="E113" s="193"/>
      <c r="F113" s="192"/>
      <c r="G113" s="22"/>
    </row>
    <row r="114" spans="1:9" ht="15" customHeight="1" x14ac:dyDescent="0.25">
      <c r="A114" s="52"/>
      <c r="B114" s="28"/>
      <c r="C114" s="39"/>
      <c r="D114" s="39"/>
      <c r="E114" s="193"/>
      <c r="F114" s="192"/>
    </row>
    <row r="115" spans="1:9" s="2" customFormat="1" ht="15" customHeight="1" x14ac:dyDescent="0.25">
      <c r="A115" s="111" t="s">
        <v>208</v>
      </c>
      <c r="B115" s="5" t="s">
        <v>209</v>
      </c>
      <c r="C115" s="59"/>
      <c r="D115" s="39">
        <f>SUM(C116:C118)</f>
        <v>11500</v>
      </c>
      <c r="E115" s="206"/>
      <c r="F115" s="192">
        <f>SUM(E116:E118)</f>
        <v>3740.9300000000003</v>
      </c>
      <c r="G115" s="22">
        <f>D115-F115</f>
        <v>7759.07</v>
      </c>
    </row>
    <row r="116" spans="1:9" x14ac:dyDescent="0.25">
      <c r="A116" s="49" t="s">
        <v>99</v>
      </c>
      <c r="B116" s="26" t="s">
        <v>100</v>
      </c>
      <c r="C116" s="161">
        <v>4000</v>
      </c>
      <c r="D116" s="39"/>
      <c r="E116" s="197">
        <f>3310.05+70</f>
        <v>3380.05</v>
      </c>
      <c r="F116" s="192"/>
      <c r="G116" s="188">
        <f t="shared" ref="G116:G118" si="2">C116-E116</f>
        <v>619.94999999999982</v>
      </c>
    </row>
    <row r="117" spans="1:9" x14ac:dyDescent="0.25">
      <c r="A117" s="157" t="s">
        <v>101</v>
      </c>
      <c r="B117" s="158" t="s">
        <v>184</v>
      </c>
      <c r="C117" s="161">
        <v>6000</v>
      </c>
      <c r="D117" s="39"/>
      <c r="E117" s="197">
        <v>322</v>
      </c>
      <c r="F117" s="192"/>
      <c r="G117" s="188">
        <f t="shared" si="2"/>
        <v>5678</v>
      </c>
    </row>
    <row r="118" spans="1:9" x14ac:dyDescent="0.25">
      <c r="A118" s="157" t="s">
        <v>116</v>
      </c>
      <c r="B118" s="158" t="s">
        <v>115</v>
      </c>
      <c r="C118" s="161">
        <v>1500</v>
      </c>
      <c r="D118" s="39"/>
      <c r="E118" s="197">
        <v>38.880000000000003</v>
      </c>
      <c r="F118" s="192"/>
      <c r="G118" s="188">
        <f t="shared" si="2"/>
        <v>1461.12</v>
      </c>
    </row>
    <row r="119" spans="1:9" x14ac:dyDescent="0.25">
      <c r="A119" s="52"/>
      <c r="B119" s="29"/>
      <c r="C119" s="39"/>
      <c r="D119" s="39"/>
      <c r="E119" s="193"/>
      <c r="F119" s="192"/>
    </row>
    <row r="120" spans="1:9" x14ac:dyDescent="0.25">
      <c r="A120" s="49" t="s">
        <v>93</v>
      </c>
      <c r="B120" s="26" t="s">
        <v>249</v>
      </c>
      <c r="C120" s="154"/>
      <c r="D120" s="39">
        <v>3000</v>
      </c>
      <c r="E120" s="193"/>
      <c r="F120" s="192">
        <v>3168.84</v>
      </c>
      <c r="G120" s="22">
        <f>D120-F120</f>
        <v>-168.84000000000015</v>
      </c>
    </row>
    <row r="121" spans="1:9" s="13" customFormat="1" x14ac:dyDescent="0.25">
      <c r="A121" s="49"/>
      <c r="B121" s="26"/>
      <c r="C121" s="154"/>
      <c r="D121" s="39"/>
      <c r="E121" s="193"/>
      <c r="F121" s="192"/>
      <c r="G121" s="22"/>
    </row>
    <row r="122" spans="1:9" s="13" customFormat="1" x14ac:dyDescent="0.25">
      <c r="A122" s="49" t="s">
        <v>212</v>
      </c>
      <c r="B122" s="26" t="s">
        <v>72</v>
      </c>
      <c r="C122" s="39"/>
      <c r="D122" s="39">
        <f>SUM(C123:C125)</f>
        <v>20912.12</v>
      </c>
      <c r="E122" s="193"/>
      <c r="F122" s="192">
        <f>SUM(E123:E125)</f>
        <v>11936.310000000001</v>
      </c>
      <c r="G122" s="22">
        <f>D122-F122</f>
        <v>8975.8099999999977</v>
      </c>
    </row>
    <row r="123" spans="1:9" x14ac:dyDescent="0.25">
      <c r="A123" s="157" t="s">
        <v>103</v>
      </c>
      <c r="B123" s="158" t="s">
        <v>213</v>
      </c>
      <c r="C123" s="161">
        <v>15000</v>
      </c>
      <c r="D123" s="39"/>
      <c r="E123" s="208">
        <v>3448.12</v>
      </c>
      <c r="F123" s="192"/>
      <c r="G123" s="188">
        <f t="shared" ref="G123:G125" si="3">C123-E123</f>
        <v>11551.880000000001</v>
      </c>
    </row>
    <row r="124" spans="1:9" s="13" customFormat="1" x14ac:dyDescent="0.25">
      <c r="A124" s="176" t="s">
        <v>180</v>
      </c>
      <c r="B124" s="158" t="s">
        <v>181</v>
      </c>
      <c r="C124" s="173">
        <f>1353.03*4</f>
        <v>5412.12</v>
      </c>
      <c r="D124" s="39"/>
      <c r="E124" s="208">
        <v>6986.49</v>
      </c>
      <c r="F124" s="192"/>
      <c r="G124" s="188">
        <f t="shared" si="3"/>
        <v>-1574.37</v>
      </c>
      <c r="H124" s="92"/>
      <c r="I124" s="92"/>
    </row>
    <row r="125" spans="1:9" s="13" customFormat="1" x14ac:dyDescent="0.25">
      <c r="A125" s="159" t="s">
        <v>210</v>
      </c>
      <c r="B125" s="158" t="s">
        <v>211</v>
      </c>
      <c r="C125" s="173">
        <v>500</v>
      </c>
      <c r="D125" s="39"/>
      <c r="E125" s="208">
        <v>1501.7</v>
      </c>
      <c r="F125" s="192"/>
      <c r="G125" s="188">
        <f t="shared" si="3"/>
        <v>-1001.7</v>
      </c>
    </row>
    <row r="126" spans="1:9" x14ac:dyDescent="0.25">
      <c r="A126" s="52"/>
      <c r="B126" s="28"/>
      <c r="C126" s="39"/>
      <c r="D126" s="39"/>
      <c r="E126" s="193"/>
      <c r="F126" s="192"/>
    </row>
    <row r="127" spans="1:9" x14ac:dyDescent="0.25">
      <c r="A127" s="49" t="s">
        <v>158</v>
      </c>
      <c r="B127" s="26" t="s">
        <v>214</v>
      </c>
      <c r="C127" s="154"/>
      <c r="D127" s="39">
        <v>500</v>
      </c>
      <c r="E127" s="193"/>
      <c r="F127" s="192">
        <v>715.28</v>
      </c>
      <c r="G127" s="22">
        <f>D127-F127</f>
        <v>-215.27999999999997</v>
      </c>
    </row>
    <row r="128" spans="1:9" s="13" customFormat="1" x14ac:dyDescent="0.25">
      <c r="A128" s="95"/>
      <c r="B128" s="177"/>
      <c r="C128" s="39"/>
      <c r="D128" s="39"/>
      <c r="E128" s="193"/>
      <c r="F128" s="192"/>
      <c r="G128" s="22"/>
    </row>
    <row r="129" spans="1:7" x14ac:dyDescent="0.25">
      <c r="A129" s="49" t="s">
        <v>98</v>
      </c>
      <c r="B129" s="26" t="s">
        <v>83</v>
      </c>
      <c r="C129" s="154"/>
      <c r="D129" s="39">
        <v>0</v>
      </c>
      <c r="E129" s="193"/>
      <c r="F129" s="192">
        <v>0</v>
      </c>
      <c r="G129" s="22">
        <f>D129-F129</f>
        <v>0</v>
      </c>
    </row>
    <row r="130" spans="1:7" s="13" customFormat="1" x14ac:dyDescent="0.25">
      <c r="A130" s="95"/>
      <c r="B130" s="177"/>
      <c r="C130" s="39"/>
      <c r="D130" s="39"/>
      <c r="E130" s="193"/>
      <c r="F130" s="192"/>
      <c r="G130" s="22"/>
    </row>
    <row r="131" spans="1:7" x14ac:dyDescent="0.25">
      <c r="A131" s="49" t="s">
        <v>105</v>
      </c>
      <c r="B131" s="26" t="s">
        <v>104</v>
      </c>
      <c r="C131" s="154"/>
      <c r="D131" s="39">
        <v>17000</v>
      </c>
      <c r="E131" s="193"/>
      <c r="F131" s="192">
        <v>663.68</v>
      </c>
      <c r="G131" s="22">
        <f>D131-F131</f>
        <v>16336.32</v>
      </c>
    </row>
    <row r="132" spans="1:7" x14ac:dyDescent="0.25">
      <c r="A132" s="52"/>
      <c r="B132" s="29"/>
      <c r="C132" s="39"/>
      <c r="D132" s="39"/>
      <c r="E132" s="193"/>
      <c r="F132" s="192"/>
    </row>
    <row r="133" spans="1:7" s="6" customFormat="1" ht="15.75" thickBot="1" x14ac:dyDescent="0.3">
      <c r="A133" s="81" t="s">
        <v>147</v>
      </c>
      <c r="B133" s="82" t="s">
        <v>57</v>
      </c>
      <c r="C133" s="83"/>
      <c r="D133" s="164">
        <f>SUM(D102:D132)</f>
        <v>108812.12</v>
      </c>
      <c r="E133" s="85"/>
      <c r="F133" s="88">
        <f>SUM(F102:F132)</f>
        <v>71489.449999999983</v>
      </c>
      <c r="G133" s="22">
        <f>D133-F133</f>
        <v>37322.670000000013</v>
      </c>
    </row>
    <row r="134" spans="1:7" s="71" customFormat="1" ht="15.75" thickBot="1" x14ac:dyDescent="0.3">
      <c r="A134" s="66"/>
      <c r="B134" s="67"/>
      <c r="C134" s="69"/>
      <c r="D134" s="70"/>
      <c r="E134" s="68"/>
      <c r="F134" s="67"/>
      <c r="G134" s="68"/>
    </row>
    <row r="135" spans="1:7" x14ac:dyDescent="0.25">
      <c r="A135" s="93" t="s">
        <v>10</v>
      </c>
      <c r="B135" s="94" t="s">
        <v>106</v>
      </c>
      <c r="C135" s="47"/>
      <c r="D135" s="156"/>
      <c r="E135" s="191"/>
      <c r="F135" s="200"/>
    </row>
    <row r="136" spans="1:7" x14ac:dyDescent="0.25">
      <c r="A136" s="25" t="s">
        <v>217</v>
      </c>
      <c r="B136" s="26" t="s">
        <v>81</v>
      </c>
      <c r="C136" s="154"/>
      <c r="D136" s="39">
        <f>SUM(C137:C139)</f>
        <v>313500</v>
      </c>
      <c r="E136" s="193"/>
      <c r="F136" s="209">
        <f>SUM(E137:E139)</f>
        <v>313226.03000000003</v>
      </c>
      <c r="G136" s="22">
        <f>D136-F136</f>
        <v>273.96999999997206</v>
      </c>
    </row>
    <row r="137" spans="1:7" x14ac:dyDescent="0.25">
      <c r="A137" s="159" t="s">
        <v>78</v>
      </c>
      <c r="B137" s="158" t="s">
        <v>280</v>
      </c>
      <c r="C137" s="161">
        <f>C10</f>
        <v>224100</v>
      </c>
      <c r="D137" s="78"/>
      <c r="E137" s="210">
        <v>300534.78000000003</v>
      </c>
      <c r="F137" s="190"/>
      <c r="G137" s="188">
        <f t="shared" ref="G137:G139" si="4">C137-E137</f>
        <v>-76434.780000000028</v>
      </c>
    </row>
    <row r="138" spans="1:7" x14ac:dyDescent="0.25">
      <c r="A138" s="157" t="s">
        <v>79</v>
      </c>
      <c r="B138" s="158" t="s">
        <v>281</v>
      </c>
      <c r="C138" s="161">
        <f>C14</f>
        <v>57399.999999999993</v>
      </c>
      <c r="D138" s="78"/>
      <c r="E138" s="197">
        <v>5857.22</v>
      </c>
      <c r="F138" s="190"/>
      <c r="G138" s="188">
        <f t="shared" si="4"/>
        <v>51542.779999999992</v>
      </c>
    </row>
    <row r="139" spans="1:7" x14ac:dyDescent="0.25">
      <c r="A139" s="157" t="s">
        <v>82</v>
      </c>
      <c r="B139" s="158" t="s">
        <v>26</v>
      </c>
      <c r="C139" s="161">
        <v>32000</v>
      </c>
      <c r="D139" s="78"/>
      <c r="E139" s="197">
        <v>6834.03</v>
      </c>
      <c r="F139" s="190"/>
      <c r="G139" s="188">
        <f t="shared" si="4"/>
        <v>25165.97</v>
      </c>
    </row>
    <row r="140" spans="1:7" x14ac:dyDescent="0.25">
      <c r="A140" s="52"/>
      <c r="B140" s="29"/>
      <c r="C140" s="39"/>
      <c r="D140" s="78"/>
      <c r="E140" s="193"/>
      <c r="F140" s="190"/>
    </row>
    <row r="141" spans="1:7" x14ac:dyDescent="0.25">
      <c r="A141" s="25" t="s">
        <v>216</v>
      </c>
      <c r="B141" s="26" t="s">
        <v>218</v>
      </c>
      <c r="C141" s="39"/>
      <c r="D141" s="39">
        <f>SUM(C142:C145)</f>
        <v>198000</v>
      </c>
      <c r="E141" s="193"/>
      <c r="F141" s="192">
        <f>SUM(E142:E145)</f>
        <v>35557.270000000004</v>
      </c>
      <c r="G141" s="22">
        <f>D141-F141</f>
        <v>162442.72999999998</v>
      </c>
    </row>
    <row r="142" spans="1:7" x14ac:dyDescent="0.25">
      <c r="A142" s="157" t="s">
        <v>107</v>
      </c>
      <c r="B142" s="158" t="s">
        <v>14</v>
      </c>
      <c r="C142" s="161">
        <v>75000</v>
      </c>
      <c r="D142" s="78"/>
      <c r="E142" s="197">
        <f>11509.76+1242.49+96.68+38.87+6000</f>
        <v>18887.800000000003</v>
      </c>
      <c r="F142" s="190"/>
      <c r="G142" s="188">
        <f t="shared" ref="G142:G145" si="5">C142-E142</f>
        <v>56112.2</v>
      </c>
    </row>
    <row r="143" spans="1:7" x14ac:dyDescent="0.25">
      <c r="A143" s="157" t="s">
        <v>108</v>
      </c>
      <c r="B143" s="158" t="s">
        <v>15</v>
      </c>
      <c r="C143" s="161">
        <v>5000</v>
      </c>
      <c r="D143" s="78"/>
      <c r="E143" s="197">
        <v>669.2</v>
      </c>
      <c r="F143" s="190"/>
      <c r="G143" s="188">
        <f t="shared" si="5"/>
        <v>4330.8</v>
      </c>
    </row>
    <row r="144" spans="1:7" x14ac:dyDescent="0.25">
      <c r="A144" s="157" t="s">
        <v>117</v>
      </c>
      <c r="B144" s="158" t="s">
        <v>156</v>
      </c>
      <c r="C144" s="161">
        <v>68000</v>
      </c>
      <c r="D144" s="78"/>
      <c r="E144" s="197">
        <f>13108.15+468</f>
        <v>13576.15</v>
      </c>
      <c r="F144" s="190"/>
      <c r="G144" s="188">
        <f t="shared" si="5"/>
        <v>54423.85</v>
      </c>
    </row>
    <row r="145" spans="1:7" s="13" customFormat="1" x14ac:dyDescent="0.25">
      <c r="A145" s="157" t="s">
        <v>253</v>
      </c>
      <c r="B145" s="174" t="s">
        <v>254</v>
      </c>
      <c r="C145" s="161">
        <v>50000</v>
      </c>
      <c r="D145" s="78"/>
      <c r="E145" s="197">
        <v>2424.12</v>
      </c>
      <c r="F145" s="190"/>
      <c r="G145" s="188">
        <f t="shared" si="5"/>
        <v>47575.88</v>
      </c>
    </row>
    <row r="146" spans="1:7" x14ac:dyDescent="0.25">
      <c r="A146" s="52"/>
      <c r="B146" s="29"/>
      <c r="C146" s="39"/>
      <c r="D146" s="78"/>
      <c r="E146" s="193"/>
      <c r="F146" s="190"/>
    </row>
    <row r="147" spans="1:7" x14ac:dyDescent="0.25">
      <c r="A147" s="25" t="s">
        <v>215</v>
      </c>
      <c r="B147" s="26" t="s">
        <v>16</v>
      </c>
      <c r="C147" s="39"/>
      <c r="D147" s="39">
        <f>SUM(C148:C151)</f>
        <v>61500</v>
      </c>
      <c r="E147" s="193"/>
      <c r="F147" s="192">
        <f>SUM(E148:E151)</f>
        <v>28807.25</v>
      </c>
      <c r="G147" s="22">
        <f>D147-F147</f>
        <v>32692.75</v>
      </c>
    </row>
    <row r="148" spans="1:7" s="13" customFormat="1" x14ac:dyDescent="0.25">
      <c r="A148" s="157" t="s">
        <v>109</v>
      </c>
      <c r="B148" s="158" t="s">
        <v>18</v>
      </c>
      <c r="C148" s="161">
        <v>36500</v>
      </c>
      <c r="D148" s="78"/>
      <c r="E148" s="197">
        <v>22197.7</v>
      </c>
      <c r="F148" s="190"/>
      <c r="G148" s="188">
        <f t="shared" ref="G148:G151" si="6">C148-E148</f>
        <v>14302.3</v>
      </c>
    </row>
    <row r="149" spans="1:7" x14ac:dyDescent="0.25">
      <c r="A149" s="157" t="s">
        <v>110</v>
      </c>
      <c r="B149" s="158" t="s">
        <v>17</v>
      </c>
      <c r="C149" s="161">
        <v>10000</v>
      </c>
      <c r="D149" s="78"/>
      <c r="E149" s="197">
        <v>394</v>
      </c>
      <c r="F149" s="190"/>
      <c r="G149" s="188">
        <f t="shared" si="6"/>
        <v>9606</v>
      </c>
    </row>
    <row r="150" spans="1:7" x14ac:dyDescent="0.25">
      <c r="A150" s="157" t="s">
        <v>111</v>
      </c>
      <c r="B150" s="158" t="s">
        <v>113</v>
      </c>
      <c r="C150" s="161">
        <v>9500</v>
      </c>
      <c r="D150" s="78"/>
      <c r="E150" s="197">
        <v>2483.5500000000002</v>
      </c>
      <c r="F150" s="190"/>
      <c r="G150" s="188">
        <f t="shared" si="6"/>
        <v>7016.45</v>
      </c>
    </row>
    <row r="151" spans="1:7" x14ac:dyDescent="0.25">
      <c r="A151" s="157" t="s">
        <v>112</v>
      </c>
      <c r="B151" s="158" t="s">
        <v>73</v>
      </c>
      <c r="C151" s="161">
        <v>5500</v>
      </c>
      <c r="D151" s="78"/>
      <c r="E151" s="197">
        <v>3732</v>
      </c>
      <c r="F151" s="190"/>
      <c r="G151" s="188">
        <f t="shared" si="6"/>
        <v>1768</v>
      </c>
    </row>
    <row r="152" spans="1:7" x14ac:dyDescent="0.25">
      <c r="A152" s="52"/>
      <c r="B152" s="29"/>
      <c r="C152" s="39"/>
      <c r="D152" s="78"/>
      <c r="E152" s="197"/>
      <c r="F152" s="190"/>
    </row>
    <row r="153" spans="1:7" s="13" customFormat="1" x14ac:dyDescent="0.25">
      <c r="A153" s="25" t="s">
        <v>219</v>
      </c>
      <c r="B153" s="26" t="s">
        <v>220</v>
      </c>
      <c r="C153" s="39"/>
      <c r="D153" s="39">
        <f>SUM(C154)</f>
        <v>25000</v>
      </c>
      <c r="E153" s="193"/>
      <c r="F153" s="192">
        <f>SUM(E154)</f>
        <v>14539.4</v>
      </c>
      <c r="G153" s="22">
        <f>D153-F153</f>
        <v>10460.6</v>
      </c>
    </row>
    <row r="154" spans="1:7" x14ac:dyDescent="0.25">
      <c r="A154" s="159" t="s">
        <v>157</v>
      </c>
      <c r="B154" s="158" t="s">
        <v>230</v>
      </c>
      <c r="C154" s="161">
        <v>25000</v>
      </c>
      <c r="D154" s="78"/>
      <c r="E154" s="197">
        <v>14539.4</v>
      </c>
      <c r="F154" s="190"/>
      <c r="G154" s="188">
        <f t="shared" ref="G154" si="7">C154-E154</f>
        <v>10460.6</v>
      </c>
    </row>
    <row r="155" spans="1:7" s="13" customFormat="1" x14ac:dyDescent="0.25">
      <c r="A155" s="52"/>
      <c r="B155" s="29"/>
      <c r="C155" s="39"/>
      <c r="D155" s="78"/>
      <c r="E155" s="193"/>
      <c r="F155" s="190"/>
      <c r="G155" s="22"/>
    </row>
    <row r="156" spans="1:7" s="13" customFormat="1" x14ac:dyDescent="0.25">
      <c r="A156" s="25" t="s">
        <v>221</v>
      </c>
      <c r="B156" s="26" t="s">
        <v>185</v>
      </c>
      <c r="C156" s="39"/>
      <c r="D156" s="39">
        <f>SUM(C157)</f>
        <v>50000</v>
      </c>
      <c r="E156" s="193"/>
      <c r="F156" s="192">
        <f>SUM(E157)</f>
        <v>33257.839999999997</v>
      </c>
      <c r="G156" s="22">
        <f>D156-F156</f>
        <v>16742.160000000003</v>
      </c>
    </row>
    <row r="157" spans="1:7" s="13" customFormat="1" x14ac:dyDescent="0.25">
      <c r="A157" s="159" t="s">
        <v>222</v>
      </c>
      <c r="B157" s="158" t="s">
        <v>237</v>
      </c>
      <c r="C157" s="161">
        <v>50000</v>
      </c>
      <c r="D157" s="172"/>
      <c r="E157" s="197">
        <f>33019.84+238</f>
        <v>33257.839999999997</v>
      </c>
      <c r="F157" s="190"/>
      <c r="G157" s="188">
        <f t="shared" ref="G157" si="8">C157-E157</f>
        <v>16742.160000000003</v>
      </c>
    </row>
    <row r="158" spans="1:7" x14ac:dyDescent="0.25">
      <c r="A158" s="52"/>
      <c r="B158" s="29"/>
      <c r="C158" s="39"/>
      <c r="D158" s="78"/>
      <c r="E158" s="193"/>
      <c r="F158" s="190"/>
    </row>
    <row r="159" spans="1:7" s="6" customFormat="1" ht="15.75" thickBot="1" x14ac:dyDescent="0.3">
      <c r="A159" s="81" t="s">
        <v>150</v>
      </c>
      <c r="B159" s="82" t="s">
        <v>106</v>
      </c>
      <c r="C159" s="83"/>
      <c r="D159" s="164">
        <f>SUM(D135:D158)</f>
        <v>648000</v>
      </c>
      <c r="E159" s="85"/>
      <c r="F159" s="88">
        <f>SUM(F135:F158)</f>
        <v>425387.79000000004</v>
      </c>
      <c r="G159" s="22">
        <f>D159-F159</f>
        <v>222612.20999999996</v>
      </c>
    </row>
    <row r="160" spans="1:7" s="71" customFormat="1" ht="15.75" thickBot="1" x14ac:dyDescent="0.3">
      <c r="A160" s="66"/>
      <c r="B160" s="67"/>
      <c r="C160" s="69"/>
      <c r="D160" s="70"/>
      <c r="E160" s="69"/>
      <c r="F160" s="70"/>
      <c r="G160" s="68"/>
    </row>
    <row r="161" spans="1:9" x14ac:dyDescent="0.25">
      <c r="A161" s="93" t="s">
        <v>11</v>
      </c>
      <c r="B161" s="94" t="s">
        <v>56</v>
      </c>
      <c r="C161" s="47"/>
      <c r="D161" s="39"/>
      <c r="E161" s="191"/>
      <c r="F161" s="192"/>
    </row>
    <row r="162" spans="1:9" x14ac:dyDescent="0.25">
      <c r="A162" s="49" t="s">
        <v>91</v>
      </c>
      <c r="B162" s="26" t="s">
        <v>122</v>
      </c>
      <c r="C162" s="154"/>
      <c r="D162" s="39">
        <v>4000</v>
      </c>
      <c r="E162" s="193"/>
      <c r="F162" s="192">
        <v>351.8</v>
      </c>
      <c r="G162" s="22">
        <f>D162-F162</f>
        <v>3648.2</v>
      </c>
    </row>
    <row r="163" spans="1:9" s="13" customFormat="1" x14ac:dyDescent="0.25">
      <c r="A163" s="95"/>
      <c r="B163" s="177"/>
      <c r="C163" s="39"/>
      <c r="D163" s="39"/>
      <c r="E163" s="193"/>
      <c r="F163" s="192"/>
      <c r="G163" s="22"/>
    </row>
    <row r="164" spans="1:9" x14ac:dyDescent="0.25">
      <c r="A164" s="49" t="s">
        <v>118</v>
      </c>
      <c r="B164" s="26" t="s">
        <v>128</v>
      </c>
      <c r="C164" s="154"/>
      <c r="D164" s="39">
        <v>900</v>
      </c>
      <c r="E164" s="193"/>
      <c r="F164" s="192">
        <v>6.99</v>
      </c>
      <c r="G164" s="22">
        <f>D164-F164</f>
        <v>893.01</v>
      </c>
    </row>
    <row r="165" spans="1:9" x14ac:dyDescent="0.25">
      <c r="A165" s="49" t="s">
        <v>119</v>
      </c>
      <c r="B165" s="26" t="s">
        <v>223</v>
      </c>
      <c r="C165" s="154"/>
      <c r="D165" s="39">
        <v>2000</v>
      </c>
      <c r="E165" s="193"/>
      <c r="F165" s="192">
        <v>0</v>
      </c>
      <c r="G165" s="22">
        <f>D165-F165</f>
        <v>2000</v>
      </c>
    </row>
    <row r="166" spans="1:9" s="13" customFormat="1" x14ac:dyDescent="0.25">
      <c r="A166" s="95"/>
      <c r="B166" s="177"/>
      <c r="C166" s="39"/>
      <c r="D166" s="39"/>
      <c r="E166" s="193"/>
      <c r="F166" s="192"/>
      <c r="G166" s="22"/>
    </row>
    <row r="167" spans="1:9" s="13" customFormat="1" x14ac:dyDescent="0.25">
      <c r="A167" s="49" t="s">
        <v>224</v>
      </c>
      <c r="B167" s="26" t="s">
        <v>225</v>
      </c>
      <c r="C167" s="154"/>
      <c r="D167" s="39">
        <v>0</v>
      </c>
      <c r="E167" s="193"/>
      <c r="F167" s="192">
        <v>0</v>
      </c>
      <c r="G167" s="22">
        <f>D167-F167</f>
        <v>0</v>
      </c>
    </row>
    <row r="168" spans="1:9" s="13" customFormat="1" x14ac:dyDescent="0.25">
      <c r="A168" s="95"/>
      <c r="B168" s="177"/>
      <c r="C168" s="39"/>
      <c r="D168" s="39"/>
      <c r="E168" s="193"/>
      <c r="F168" s="192"/>
      <c r="G168" s="22"/>
    </row>
    <row r="169" spans="1:9" x14ac:dyDescent="0.25">
      <c r="A169" s="49" t="s">
        <v>120</v>
      </c>
      <c r="B169" s="26" t="s">
        <v>226</v>
      </c>
      <c r="C169" s="154"/>
      <c r="D169" s="39">
        <v>18000</v>
      </c>
      <c r="E169" s="193"/>
      <c r="F169" s="192">
        <v>200</v>
      </c>
      <c r="G169" s="22">
        <f>D169-F169</f>
        <v>17800</v>
      </c>
    </row>
    <row r="170" spans="1:9" s="13" customFormat="1" x14ac:dyDescent="0.25">
      <c r="A170" s="95"/>
      <c r="B170" s="177"/>
      <c r="C170" s="39"/>
      <c r="D170" s="39"/>
      <c r="E170" s="193"/>
      <c r="F170" s="192"/>
      <c r="G170" s="22"/>
    </row>
    <row r="171" spans="1:9" x14ac:dyDescent="0.25">
      <c r="A171" s="49" t="s">
        <v>121</v>
      </c>
      <c r="B171" s="26" t="s">
        <v>63</v>
      </c>
      <c r="C171" s="154"/>
      <c r="D171" s="39">
        <v>2100</v>
      </c>
      <c r="E171" s="193"/>
      <c r="F171" s="192">
        <f>3262.65+269.81+99.66</f>
        <v>3632.12</v>
      </c>
      <c r="G171" s="22">
        <f>D171-F171</f>
        <v>-1532.12</v>
      </c>
    </row>
    <row r="172" spans="1:9" s="13" customFormat="1" x14ac:dyDescent="0.25">
      <c r="A172" s="182"/>
      <c r="B172" s="177"/>
      <c r="C172" s="39"/>
      <c r="D172" s="39"/>
      <c r="E172" s="193"/>
      <c r="F172" s="192"/>
      <c r="G172" s="22"/>
    </row>
    <row r="173" spans="1:9" s="13" customFormat="1" x14ac:dyDescent="0.25">
      <c r="A173" s="178" t="s">
        <v>238</v>
      </c>
      <c r="B173" s="26" t="s">
        <v>241</v>
      </c>
      <c r="C173" s="154"/>
      <c r="D173" s="39">
        <v>0</v>
      </c>
      <c r="E173" s="193"/>
      <c r="F173" s="192">
        <v>0</v>
      </c>
      <c r="G173" s="22">
        <f>D173-F173</f>
        <v>0</v>
      </c>
    </row>
    <row r="174" spans="1:9" s="13" customFormat="1" x14ac:dyDescent="0.25">
      <c r="A174" s="182"/>
      <c r="B174" s="177"/>
      <c r="C174" s="39"/>
      <c r="D174" s="39"/>
      <c r="E174" s="193"/>
      <c r="F174" s="192"/>
      <c r="G174" s="22"/>
    </row>
    <row r="175" spans="1:9" x14ac:dyDescent="0.25">
      <c r="A175" s="25" t="s">
        <v>227</v>
      </c>
      <c r="B175" s="26" t="s">
        <v>231</v>
      </c>
      <c r="C175" s="154"/>
      <c r="D175" s="39">
        <v>60000</v>
      </c>
      <c r="E175" s="193"/>
      <c r="F175" s="192">
        <f>158.85</f>
        <v>158.85</v>
      </c>
      <c r="G175" s="22">
        <f>D175-F175</f>
        <v>59841.15</v>
      </c>
      <c r="H175" s="23"/>
      <c r="I175" s="13"/>
    </row>
    <row r="176" spans="1:9" s="13" customFormat="1" x14ac:dyDescent="0.25">
      <c r="A176" s="25"/>
      <c r="B176" s="26" t="s">
        <v>232</v>
      </c>
      <c r="C176" s="154"/>
      <c r="D176" s="39">
        <v>100000</v>
      </c>
      <c r="E176" s="193"/>
      <c r="F176" s="192">
        <v>0</v>
      </c>
      <c r="G176" s="22">
        <f>D176-F176</f>
        <v>100000</v>
      </c>
    </row>
    <row r="177" spans="1:7" s="13" customFormat="1" x14ac:dyDescent="0.25">
      <c r="A177" s="25"/>
      <c r="B177" s="26"/>
      <c r="C177" s="154"/>
      <c r="D177" s="39"/>
      <c r="E177" s="193"/>
      <c r="F177" s="192"/>
      <c r="G177" s="22"/>
    </row>
    <row r="178" spans="1:7" s="13" customFormat="1" x14ac:dyDescent="0.25">
      <c r="A178" s="25">
        <v>795</v>
      </c>
      <c r="B178" s="26" t="s">
        <v>321</v>
      </c>
      <c r="C178" s="154"/>
      <c r="D178" s="39">
        <v>0</v>
      </c>
      <c r="E178" s="193"/>
      <c r="F178" s="192">
        <v>69.86</v>
      </c>
      <c r="G178" s="22">
        <f>D178-F178</f>
        <v>-69.86</v>
      </c>
    </row>
    <row r="179" spans="1:7" s="13" customFormat="1" x14ac:dyDescent="0.25">
      <c r="A179" s="30"/>
      <c r="B179" s="29"/>
      <c r="C179" s="39"/>
      <c r="D179" s="39"/>
      <c r="E179" s="193"/>
      <c r="F179" s="192"/>
      <c r="G179" s="22"/>
    </row>
    <row r="180" spans="1:7" s="13" customFormat="1" x14ac:dyDescent="0.25">
      <c r="A180" s="30"/>
      <c r="B180" s="29" t="s">
        <v>325</v>
      </c>
      <c r="C180" s="39"/>
      <c r="D180" s="39"/>
      <c r="E180" s="193"/>
      <c r="F180" s="192"/>
      <c r="G180" s="22">
        <f>D180-F180</f>
        <v>0</v>
      </c>
    </row>
    <row r="181" spans="1:7" s="13" customFormat="1" x14ac:dyDescent="0.25">
      <c r="A181" s="30"/>
      <c r="B181" s="29"/>
      <c r="C181" s="39"/>
      <c r="D181" s="39"/>
      <c r="E181" s="193"/>
      <c r="F181" s="192"/>
      <c r="G181" s="22"/>
    </row>
    <row r="182" spans="1:7" s="6" customFormat="1" ht="15.75" thickBot="1" x14ac:dyDescent="0.3">
      <c r="A182" s="81" t="s">
        <v>148</v>
      </c>
      <c r="B182" s="82" t="s">
        <v>56</v>
      </c>
      <c r="C182" s="83"/>
      <c r="D182" s="83">
        <f>SUM(D162:D178)</f>
        <v>187000</v>
      </c>
      <c r="E182" s="85"/>
      <c r="F182" s="84">
        <f>SUM(F162:F181)</f>
        <v>4419.62</v>
      </c>
      <c r="G182" s="22">
        <f>D182-F182</f>
        <v>182580.38</v>
      </c>
    </row>
    <row r="183" spans="1:7" s="71" customFormat="1" ht="15.75" thickBot="1" x14ac:dyDescent="0.3">
      <c r="A183" s="66"/>
      <c r="B183" s="67"/>
      <c r="C183" s="69"/>
      <c r="D183" s="70"/>
      <c r="E183" s="69"/>
      <c r="F183" s="70"/>
      <c r="G183" s="68"/>
    </row>
    <row r="184" spans="1:7" x14ac:dyDescent="0.25">
      <c r="A184" s="93" t="s">
        <v>12</v>
      </c>
      <c r="B184" s="94" t="s">
        <v>233</v>
      </c>
      <c r="C184" s="47"/>
      <c r="D184" s="156"/>
      <c r="E184" s="191"/>
      <c r="F184" s="200"/>
    </row>
    <row r="185" spans="1:7" x14ac:dyDescent="0.25">
      <c r="A185" s="49" t="s">
        <v>159</v>
      </c>
      <c r="B185" s="26" t="s">
        <v>143</v>
      </c>
      <c r="C185" s="154">
        <v>39390</v>
      </c>
      <c r="D185" s="78"/>
      <c r="E185" s="193">
        <f>1452608.88-E187-E188</f>
        <v>1375372.8099999998</v>
      </c>
      <c r="F185" s="190"/>
      <c r="G185" s="188"/>
    </row>
    <row r="186" spans="1:7" s="13" customFormat="1" x14ac:dyDescent="0.25">
      <c r="A186" s="95"/>
      <c r="B186" s="177"/>
      <c r="C186" s="39"/>
      <c r="D186" s="78"/>
      <c r="E186" s="193"/>
      <c r="F186" s="190"/>
      <c r="G186" s="22"/>
    </row>
    <row r="187" spans="1:7" s="13" customFormat="1" x14ac:dyDescent="0.25">
      <c r="A187" s="49"/>
      <c r="B187" s="26" t="s">
        <v>183</v>
      </c>
      <c r="C187" s="154"/>
      <c r="D187" s="78"/>
      <c r="E187" s="193">
        <v>28700</v>
      </c>
      <c r="F187" s="190"/>
      <c r="G187" s="22"/>
    </row>
    <row r="188" spans="1:7" x14ac:dyDescent="0.25">
      <c r="A188" s="49"/>
      <c r="B188" s="12" t="s">
        <v>329</v>
      </c>
      <c r="C188" s="39"/>
      <c r="D188" s="78"/>
      <c r="E188" s="193">
        <v>48536.07</v>
      </c>
      <c r="F188" s="190"/>
    </row>
    <row r="189" spans="1:7" x14ac:dyDescent="0.25">
      <c r="A189" s="52"/>
      <c r="B189" s="29"/>
      <c r="C189" s="39"/>
      <c r="D189" s="78"/>
      <c r="E189" s="193"/>
      <c r="F189" s="190"/>
    </row>
    <row r="190" spans="1:7" s="6" customFormat="1" ht="15.75" thickBot="1" x14ac:dyDescent="0.3">
      <c r="A190" s="81" t="s">
        <v>149</v>
      </c>
      <c r="B190" s="82" t="s">
        <v>334</v>
      </c>
      <c r="C190" s="83"/>
      <c r="D190" s="83">
        <f>C185+C187+C188</f>
        <v>39390</v>
      </c>
      <c r="E190" s="85"/>
      <c r="F190" s="84">
        <f>SUM(E185:E188)</f>
        <v>1452608.88</v>
      </c>
      <c r="G190" s="22">
        <f>F190-D190</f>
        <v>1413218.88</v>
      </c>
    </row>
    <row r="191" spans="1:7" s="71" customFormat="1" ht="15.75" thickBot="1" x14ac:dyDescent="0.3">
      <c r="A191" s="66"/>
      <c r="B191" s="67"/>
      <c r="C191" s="69"/>
      <c r="D191" s="70"/>
      <c r="E191" s="69"/>
      <c r="F191" s="70"/>
      <c r="G191" s="68"/>
    </row>
    <row r="192" spans="1:7" x14ac:dyDescent="0.25">
      <c r="A192" s="93" t="s">
        <v>138</v>
      </c>
      <c r="B192" s="94" t="s">
        <v>248</v>
      </c>
      <c r="C192" s="47"/>
      <c r="D192" s="156"/>
      <c r="E192" s="191"/>
      <c r="F192" s="200"/>
    </row>
    <row r="193" spans="1:8" s="13" customFormat="1" x14ac:dyDescent="0.25">
      <c r="A193" s="49" t="s">
        <v>139</v>
      </c>
      <c r="B193" s="26" t="s">
        <v>21</v>
      </c>
      <c r="C193" s="154">
        <v>970750</v>
      </c>
      <c r="D193" s="165"/>
      <c r="E193" s="193">
        <f>1097578.85-2.55-734.7</f>
        <v>1096841.6000000001</v>
      </c>
      <c r="F193" s="211"/>
      <c r="G193" s="22">
        <f t="shared" ref="G193:G198" si="9">C193-E193</f>
        <v>-126091.60000000009</v>
      </c>
    </row>
    <row r="194" spans="1:8" s="13" customFormat="1" x14ac:dyDescent="0.25">
      <c r="A194" s="49" t="s">
        <v>140</v>
      </c>
      <c r="B194" s="26" t="s">
        <v>23</v>
      </c>
      <c r="C194" s="154">
        <v>137500</v>
      </c>
      <c r="D194" s="165"/>
      <c r="E194" s="193">
        <f>68903.55-53.55</f>
        <v>68850</v>
      </c>
      <c r="F194" s="211"/>
      <c r="G194" s="22">
        <f t="shared" si="9"/>
        <v>68650</v>
      </c>
    </row>
    <row r="195" spans="1:8" ht="14.25" customHeight="1" x14ac:dyDescent="0.25">
      <c r="A195" s="49" t="s">
        <v>141</v>
      </c>
      <c r="B195" s="26" t="s">
        <v>188</v>
      </c>
      <c r="C195" s="39">
        <v>950</v>
      </c>
      <c r="D195" s="78"/>
      <c r="E195" s="193">
        <v>734.7</v>
      </c>
      <c r="F195" s="190"/>
      <c r="G195" s="22">
        <f t="shared" si="9"/>
        <v>215.29999999999995</v>
      </c>
    </row>
    <row r="196" spans="1:8" ht="14.25" customHeight="1" x14ac:dyDescent="0.25">
      <c r="A196" s="49" t="s">
        <v>142</v>
      </c>
      <c r="B196" s="26" t="s">
        <v>114</v>
      </c>
      <c r="C196" s="39">
        <v>0</v>
      </c>
      <c r="D196" s="78"/>
      <c r="E196" s="193">
        <v>0</v>
      </c>
      <c r="F196" s="190"/>
      <c r="G196" s="22">
        <f t="shared" si="9"/>
        <v>0</v>
      </c>
      <c r="H196" s="13"/>
    </row>
    <row r="197" spans="1:8" ht="14.25" customHeight="1" x14ac:dyDescent="0.25">
      <c r="A197" s="49" t="s">
        <v>160</v>
      </c>
      <c r="B197" s="26" t="s">
        <v>161</v>
      </c>
      <c r="C197" s="39">
        <v>2300</v>
      </c>
      <c r="D197" s="78"/>
      <c r="E197" s="193">
        <v>610</v>
      </c>
      <c r="F197" s="190"/>
      <c r="G197" s="22">
        <f t="shared" si="9"/>
        <v>1690</v>
      </c>
    </row>
    <row r="198" spans="1:8" x14ac:dyDescent="0.25">
      <c r="A198" s="49" t="s">
        <v>167</v>
      </c>
      <c r="B198" s="26" t="s">
        <v>187</v>
      </c>
      <c r="C198" s="39">
        <v>85</v>
      </c>
      <c r="D198" s="78"/>
      <c r="E198" s="193">
        <f>53.55+2.55</f>
        <v>56.099999999999994</v>
      </c>
      <c r="F198" s="190"/>
      <c r="G198" s="22">
        <f t="shared" si="9"/>
        <v>28.900000000000006</v>
      </c>
    </row>
    <row r="199" spans="1:8" s="13" customFormat="1" x14ac:dyDescent="0.25">
      <c r="A199" s="25" t="s">
        <v>335</v>
      </c>
      <c r="B199" s="26" t="s">
        <v>245</v>
      </c>
      <c r="C199" s="154">
        <f>28400*2*2.5</f>
        <v>142000</v>
      </c>
      <c r="D199" s="78"/>
      <c r="E199" s="193">
        <v>0</v>
      </c>
      <c r="F199" s="190"/>
      <c r="G199" s="22"/>
    </row>
    <row r="200" spans="1:8" x14ac:dyDescent="0.25">
      <c r="A200" s="52"/>
      <c r="B200" s="67"/>
      <c r="C200" s="39"/>
      <c r="D200" s="78"/>
      <c r="E200" s="193"/>
      <c r="F200" s="190"/>
    </row>
    <row r="201" spans="1:8" s="6" customFormat="1" ht="15.75" thickBot="1" x14ac:dyDescent="0.3">
      <c r="A201" s="81" t="s">
        <v>151</v>
      </c>
      <c r="B201" s="82" t="s">
        <v>95</v>
      </c>
      <c r="C201" s="83"/>
      <c r="D201" s="83">
        <f>SUM(C193:C199)</f>
        <v>1253585</v>
      </c>
      <c r="E201" s="85"/>
      <c r="F201" s="84">
        <f>SUM(E193:E198)</f>
        <v>1167092.4000000001</v>
      </c>
      <c r="G201" s="22">
        <f>D201-F201</f>
        <v>86492.59999999986</v>
      </c>
    </row>
    <row r="202" spans="1:8" s="13" customFormat="1" x14ac:dyDescent="0.25">
      <c r="A202" s="166"/>
      <c r="B202" s="64"/>
      <c r="C202" s="216"/>
      <c r="D202" s="64"/>
      <c r="E202" s="217"/>
      <c r="F202" s="218"/>
      <c r="G202" s="79"/>
    </row>
    <row r="203" spans="1:8" ht="15.75" thickBot="1" x14ac:dyDescent="0.3">
      <c r="A203" s="50" t="s">
        <v>177</v>
      </c>
      <c r="B203" s="167"/>
      <c r="C203" s="43"/>
      <c r="D203" s="29"/>
      <c r="E203" s="187"/>
      <c r="F203" s="219"/>
    </row>
    <row r="204" spans="1:8" x14ac:dyDescent="0.25">
      <c r="A204" s="166" t="s">
        <v>178</v>
      </c>
      <c r="B204" s="170" t="s">
        <v>330</v>
      </c>
      <c r="C204" s="171"/>
      <c r="D204" s="171">
        <f>SUM(D182+D159+D133+D100)</f>
        <v>1217562.1200000001</v>
      </c>
      <c r="E204" s="212"/>
      <c r="F204" s="213">
        <f>SUM(F182+F159+F133+F100)</f>
        <v>701372.22</v>
      </c>
      <c r="G204" s="22">
        <f t="shared" ref="G204:G205" si="10">D204-F204</f>
        <v>516189.90000000014</v>
      </c>
    </row>
    <row r="205" spans="1:8" ht="15.75" thickBot="1" x14ac:dyDescent="0.3">
      <c r="A205" s="168" t="s">
        <v>178</v>
      </c>
      <c r="B205" s="55" t="s">
        <v>331</v>
      </c>
      <c r="C205" s="169"/>
      <c r="D205" s="169">
        <f>SUM(D201,D182,D159,D133,D100)</f>
        <v>2471147.12</v>
      </c>
      <c r="E205" s="214"/>
      <c r="F205" s="215">
        <f>SUM(F201+F182+F159+F133+F100)</f>
        <v>1868464.62</v>
      </c>
      <c r="G205" s="22">
        <f t="shared" si="10"/>
        <v>602682.5</v>
      </c>
    </row>
    <row r="206" spans="1:8" ht="15.75" thickBot="1" x14ac:dyDescent="0.3">
      <c r="A206" s="8"/>
      <c r="B206" s="2"/>
    </row>
    <row r="207" spans="1:8" ht="15.75" thickBot="1" x14ac:dyDescent="0.3">
      <c r="B207" s="148" t="s">
        <v>312</v>
      </c>
      <c r="C207" s="149"/>
      <c r="D207" s="150"/>
      <c r="E207" s="150"/>
      <c r="F207" s="152">
        <f>F77-F205-F190+F62</f>
        <v>0</v>
      </c>
    </row>
    <row r="210" spans="2:2" x14ac:dyDescent="0.25">
      <c r="B210" s="3"/>
    </row>
  </sheetData>
  <mergeCells count="5">
    <mergeCell ref="A79:B79"/>
    <mergeCell ref="A3:B3"/>
    <mergeCell ref="A1:G1"/>
    <mergeCell ref="E2:F2"/>
    <mergeCell ref="C2:D2"/>
  </mergeCells>
  <pageMargins left="0.7" right="0.7" top="0.78740157499999996" bottom="0.78740157499999996" header="0.3" footer="0.3"/>
  <pageSetup paperSize="9" scale="3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1"/>
  <sheetViews>
    <sheetView topLeftCell="B35" zoomScaleNormal="100" workbookViewId="0">
      <pane xSplit="1" topLeftCell="E1" activePane="topRight" state="frozen"/>
      <selection activeCell="B1" sqref="B1"/>
      <selection pane="topRight" activeCell="B1" sqref="B1:L57"/>
    </sheetView>
  </sheetViews>
  <sheetFormatPr baseColWidth="10" defaultRowHeight="15" x14ac:dyDescent="0.25"/>
  <cols>
    <col min="1" max="1" width="3.7109375" style="13" customWidth="1"/>
    <col min="2" max="2" width="48.140625" style="1" customWidth="1"/>
    <col min="3" max="3" width="21.42578125" style="13" customWidth="1"/>
    <col min="4" max="4" width="14" style="13" customWidth="1"/>
    <col min="5" max="5" width="12.85546875" style="13" customWidth="1"/>
    <col min="6" max="6" width="31" customWidth="1"/>
    <col min="7" max="7" width="8.28515625" customWidth="1"/>
    <col min="8" max="8" width="39.85546875" style="13" customWidth="1"/>
    <col min="9" max="9" width="16.85546875" customWidth="1"/>
    <col min="10" max="10" width="34" style="13" customWidth="1"/>
    <col min="11" max="11" width="31.42578125" customWidth="1"/>
    <col min="12" max="12" width="27.85546875" customWidth="1"/>
  </cols>
  <sheetData>
    <row r="1" spans="2:12" ht="19.5" x14ac:dyDescent="0.3">
      <c r="B1" s="11" t="s">
        <v>263</v>
      </c>
    </row>
    <row r="2" spans="2:12" s="13" customFormat="1" ht="19.5" x14ac:dyDescent="0.3">
      <c r="B2" s="11"/>
    </row>
    <row r="3" spans="2:12" x14ac:dyDescent="0.25">
      <c r="B3" s="17"/>
      <c r="C3" s="225" t="s">
        <v>279</v>
      </c>
      <c r="D3" s="225"/>
      <c r="E3" s="225"/>
      <c r="F3" s="225"/>
      <c r="G3" s="105"/>
      <c r="H3" s="105"/>
      <c r="I3" s="225" t="s">
        <v>262</v>
      </c>
      <c r="J3" s="225"/>
      <c r="K3" s="225"/>
    </row>
    <row r="4" spans="2:12" ht="17.25" x14ac:dyDescent="0.25">
      <c r="B4" s="18" t="s">
        <v>13</v>
      </c>
      <c r="C4" s="18" t="s">
        <v>273</v>
      </c>
      <c r="D4" s="18" t="s">
        <v>274</v>
      </c>
      <c r="E4" s="18" t="s">
        <v>276</v>
      </c>
      <c r="F4" s="16" t="s">
        <v>324</v>
      </c>
      <c r="H4" s="183" t="s">
        <v>318</v>
      </c>
      <c r="I4" s="184" t="s">
        <v>319</v>
      </c>
      <c r="J4" s="18" t="s">
        <v>278</v>
      </c>
      <c r="K4" s="18" t="s">
        <v>275</v>
      </c>
    </row>
    <row r="5" spans="2:12" x14ac:dyDescent="0.25">
      <c r="B5" s="185" t="s">
        <v>27</v>
      </c>
      <c r="C5" s="100">
        <v>2416</v>
      </c>
      <c r="D5" s="100"/>
      <c r="E5" s="100">
        <v>0</v>
      </c>
      <c r="F5" s="100">
        <v>2416</v>
      </c>
      <c r="H5" s="102">
        <v>2522.5</v>
      </c>
      <c r="I5" s="102">
        <v>878.76</v>
      </c>
      <c r="J5" s="102">
        <v>500</v>
      </c>
      <c r="K5" s="103">
        <f>H5-I5-J5</f>
        <v>1143.74</v>
      </c>
      <c r="L5" s="46"/>
    </row>
    <row r="6" spans="2:12" x14ac:dyDescent="0.25">
      <c r="B6" s="185" t="s">
        <v>28</v>
      </c>
      <c r="C6" s="100">
        <v>2487</v>
      </c>
      <c r="D6" s="100"/>
      <c r="E6" s="100">
        <v>0</v>
      </c>
      <c r="F6" s="100">
        <v>2487</v>
      </c>
      <c r="H6" s="102">
        <v>2487</v>
      </c>
      <c r="I6" s="102">
        <v>1085.4100000000001</v>
      </c>
      <c r="J6" s="102">
        <v>397</v>
      </c>
      <c r="K6" s="103">
        <f t="shared" ref="K6:K53" si="0">H6-I6-J6</f>
        <v>1004.5899999999999</v>
      </c>
    </row>
    <row r="7" spans="2:12" x14ac:dyDescent="0.25">
      <c r="B7" s="185" t="s">
        <v>29</v>
      </c>
      <c r="C7" s="100">
        <v>2947</v>
      </c>
      <c r="D7" s="100"/>
      <c r="E7" s="100">
        <v>240</v>
      </c>
      <c r="F7" s="100">
        <v>2947</v>
      </c>
      <c r="H7" s="102">
        <v>3233</v>
      </c>
      <c r="I7" s="102">
        <v>826.44</v>
      </c>
      <c r="J7" s="102">
        <v>595</v>
      </c>
      <c r="K7" s="103">
        <f t="shared" si="0"/>
        <v>1811.56</v>
      </c>
    </row>
    <row r="8" spans="2:12" x14ac:dyDescent="0.25">
      <c r="B8" s="185" t="s">
        <v>30</v>
      </c>
      <c r="C8" s="100">
        <v>5676</v>
      </c>
      <c r="D8" s="100"/>
      <c r="E8" s="100">
        <v>3420</v>
      </c>
      <c r="F8" s="100">
        <v>5676</v>
      </c>
      <c r="H8" s="102">
        <v>7100.08</v>
      </c>
      <c r="I8" s="102">
        <v>6176.59</v>
      </c>
      <c r="J8" s="102">
        <v>0</v>
      </c>
      <c r="K8" s="103">
        <f t="shared" si="0"/>
        <v>923.48999999999978</v>
      </c>
    </row>
    <row r="9" spans="2:12" x14ac:dyDescent="0.25">
      <c r="B9" s="185" t="s">
        <v>31</v>
      </c>
      <c r="C9" s="100">
        <v>2348</v>
      </c>
      <c r="D9" s="100"/>
      <c r="E9" s="100">
        <v>0</v>
      </c>
      <c r="F9" s="100">
        <v>2348</v>
      </c>
      <c r="H9" s="102">
        <v>2348</v>
      </c>
      <c r="I9" s="102">
        <v>530.84</v>
      </c>
      <c r="J9" s="102">
        <v>0</v>
      </c>
      <c r="K9" s="103">
        <f t="shared" si="0"/>
        <v>1817.1599999999999</v>
      </c>
    </row>
    <row r="10" spans="2:12" x14ac:dyDescent="0.25">
      <c r="B10" s="185" t="s">
        <v>32</v>
      </c>
      <c r="C10" s="100">
        <v>8384</v>
      </c>
      <c r="D10" s="100"/>
      <c r="E10" s="100">
        <v>9373.85</v>
      </c>
      <c r="F10" s="100">
        <v>8384</v>
      </c>
      <c r="H10" s="102">
        <v>36220.61</v>
      </c>
      <c r="I10" s="102">
        <v>23460.78</v>
      </c>
      <c r="J10" s="102">
        <v>957</v>
      </c>
      <c r="K10" s="103">
        <f t="shared" si="0"/>
        <v>11802.830000000002</v>
      </c>
    </row>
    <row r="11" spans="2:12" x14ac:dyDescent="0.25">
      <c r="B11" s="185" t="s">
        <v>264</v>
      </c>
      <c r="C11" s="100">
        <v>5926</v>
      </c>
      <c r="D11" s="100"/>
      <c r="E11" s="100">
        <v>31540</v>
      </c>
      <c r="F11" s="100">
        <v>5926</v>
      </c>
      <c r="H11" s="102">
        <v>23697.17</v>
      </c>
      <c r="I11" s="102">
        <v>22507.84</v>
      </c>
      <c r="J11" s="102">
        <v>0</v>
      </c>
      <c r="K11" s="103">
        <f t="shared" si="0"/>
        <v>1189.3299999999981</v>
      </c>
    </row>
    <row r="12" spans="2:12" x14ac:dyDescent="0.25">
      <c r="B12" s="185" t="s">
        <v>33</v>
      </c>
      <c r="C12" s="100">
        <v>3192</v>
      </c>
      <c r="D12" s="101">
        <v>1065</v>
      </c>
      <c r="E12" s="106">
        <v>2450</v>
      </c>
      <c r="F12" s="20">
        <f>SUM(C12:D12)</f>
        <v>4257</v>
      </c>
      <c r="H12" s="102">
        <v>6182</v>
      </c>
      <c r="I12" s="102">
        <v>4973.7299999999996</v>
      </c>
      <c r="J12" s="102">
        <v>900</v>
      </c>
      <c r="K12" s="103">
        <f t="shared" si="0"/>
        <v>308.27000000000044</v>
      </c>
    </row>
    <row r="13" spans="2:12" x14ac:dyDescent="0.25">
      <c r="B13" s="185" t="s">
        <v>34</v>
      </c>
      <c r="C13" s="100">
        <v>3600</v>
      </c>
      <c r="D13" s="100"/>
      <c r="E13" s="100">
        <v>650</v>
      </c>
      <c r="F13" s="100">
        <v>3600</v>
      </c>
      <c r="H13" s="102">
        <v>4111.84</v>
      </c>
      <c r="I13" s="102">
        <v>1346.18</v>
      </c>
      <c r="J13" s="102">
        <v>0</v>
      </c>
      <c r="K13" s="103">
        <f t="shared" si="0"/>
        <v>2765.66</v>
      </c>
    </row>
    <row r="14" spans="2:12" x14ac:dyDescent="0.25">
      <c r="B14" s="185" t="s">
        <v>35</v>
      </c>
      <c r="C14" s="100">
        <v>3624</v>
      </c>
      <c r="D14" s="100"/>
      <c r="E14" s="100">
        <v>0</v>
      </c>
      <c r="F14" s="100">
        <v>3624</v>
      </c>
      <c r="H14" s="102">
        <v>3952.33</v>
      </c>
      <c r="I14" s="102">
        <v>2548.75</v>
      </c>
      <c r="J14" s="102">
        <v>0</v>
      </c>
      <c r="K14" s="103">
        <f t="shared" si="0"/>
        <v>1403.58</v>
      </c>
    </row>
    <row r="15" spans="2:12" x14ac:dyDescent="0.25">
      <c r="B15" s="185" t="s">
        <v>36</v>
      </c>
      <c r="C15" s="100">
        <v>3216</v>
      </c>
      <c r="D15" s="100"/>
      <c r="E15" s="100">
        <v>0</v>
      </c>
      <c r="F15" s="100">
        <v>3216</v>
      </c>
      <c r="H15" s="102">
        <v>3671.17</v>
      </c>
      <c r="I15" s="102">
        <v>2174.44</v>
      </c>
      <c r="J15" s="102">
        <v>0</v>
      </c>
      <c r="K15" s="103">
        <f t="shared" si="0"/>
        <v>1496.73</v>
      </c>
    </row>
    <row r="16" spans="2:12" x14ac:dyDescent="0.25">
      <c r="B16" s="185" t="s">
        <v>37</v>
      </c>
      <c r="C16" s="100">
        <v>5041</v>
      </c>
      <c r="D16" s="101">
        <v>789.21</v>
      </c>
      <c r="E16" s="106">
        <v>1500</v>
      </c>
      <c r="F16" s="15">
        <f>SUM(C16:D16)</f>
        <v>5830.21</v>
      </c>
      <c r="H16" s="102">
        <v>12718.21</v>
      </c>
      <c r="I16" s="102">
        <v>11524.14</v>
      </c>
      <c r="J16" s="102">
        <v>634.07000000000005</v>
      </c>
      <c r="K16" s="103">
        <f t="shared" si="0"/>
        <v>559.99999999999966</v>
      </c>
    </row>
    <row r="17" spans="2:12" x14ac:dyDescent="0.25">
      <c r="B17" s="185" t="s">
        <v>38</v>
      </c>
      <c r="C17" s="100">
        <v>2883</v>
      </c>
      <c r="D17" s="100"/>
      <c r="E17" s="100">
        <v>7100</v>
      </c>
      <c r="F17" s="100">
        <v>2883</v>
      </c>
      <c r="H17" s="107">
        <v>2883</v>
      </c>
      <c r="I17" s="107">
        <v>346.78</v>
      </c>
      <c r="J17" s="102">
        <v>0</v>
      </c>
      <c r="K17" s="103">
        <f t="shared" si="0"/>
        <v>2536.2200000000003</v>
      </c>
    </row>
    <row r="18" spans="2:12" x14ac:dyDescent="0.25">
      <c r="B18" s="185" t="s">
        <v>39</v>
      </c>
      <c r="C18" s="100">
        <v>4935</v>
      </c>
      <c r="D18" s="100"/>
      <c r="E18" s="100">
        <v>1900</v>
      </c>
      <c r="F18" s="100">
        <v>4935</v>
      </c>
      <c r="H18" s="102">
        <v>6376.79</v>
      </c>
      <c r="I18" s="102">
        <v>3748.04</v>
      </c>
      <c r="J18" s="102">
        <v>0</v>
      </c>
      <c r="K18" s="103">
        <f t="shared" si="0"/>
        <v>2628.75</v>
      </c>
    </row>
    <row r="19" spans="2:12" x14ac:dyDescent="0.25">
      <c r="B19" s="185" t="s">
        <v>265</v>
      </c>
      <c r="C19" s="100">
        <v>2437</v>
      </c>
      <c r="D19" s="100"/>
      <c r="E19" s="100">
        <v>0</v>
      </c>
      <c r="F19" s="100">
        <v>2437</v>
      </c>
      <c r="H19" s="102">
        <v>2437</v>
      </c>
      <c r="I19" s="102">
        <v>823.23</v>
      </c>
      <c r="J19" s="102">
        <v>0</v>
      </c>
      <c r="K19" s="103">
        <f t="shared" si="0"/>
        <v>1613.77</v>
      </c>
    </row>
    <row r="20" spans="2:12" x14ac:dyDescent="0.25">
      <c r="B20" s="185" t="s">
        <v>40</v>
      </c>
      <c r="C20" s="100">
        <v>5668</v>
      </c>
      <c r="D20" s="100"/>
      <c r="E20" s="100">
        <v>4900</v>
      </c>
      <c r="F20" s="100">
        <v>5668</v>
      </c>
      <c r="H20" s="102">
        <v>7997.04</v>
      </c>
      <c r="I20" s="102">
        <v>7166.79</v>
      </c>
      <c r="J20" s="102">
        <v>87</v>
      </c>
      <c r="K20" s="103">
        <f t="shared" si="0"/>
        <v>743.25</v>
      </c>
    </row>
    <row r="21" spans="2:12" x14ac:dyDescent="0.25">
      <c r="B21" s="185" t="s">
        <v>277</v>
      </c>
      <c r="C21" s="100">
        <v>4995</v>
      </c>
      <c r="D21" s="101">
        <v>5598</v>
      </c>
      <c r="E21" s="106">
        <v>50300</v>
      </c>
      <c r="F21" s="15">
        <f>SUM(C21:D21)</f>
        <v>10593</v>
      </c>
      <c r="H21" s="102">
        <f>30328.61+31133.65</f>
        <v>61462.26</v>
      </c>
      <c r="I21" s="102">
        <f>19409.42+36688+1000</f>
        <v>57097.42</v>
      </c>
      <c r="J21" s="102">
        <v>0</v>
      </c>
      <c r="K21" s="103">
        <f t="shared" si="0"/>
        <v>4364.8400000000038</v>
      </c>
      <c r="L21" s="13"/>
    </row>
    <row r="22" spans="2:12" x14ac:dyDescent="0.25">
      <c r="B22" s="185" t="s">
        <v>320</v>
      </c>
      <c r="C22" s="100">
        <v>2515</v>
      </c>
      <c r="D22" s="100"/>
      <c r="E22" s="100">
        <v>0</v>
      </c>
      <c r="F22" s="100">
        <v>2515</v>
      </c>
      <c r="H22" s="102">
        <v>2515</v>
      </c>
      <c r="I22" s="102">
        <v>523.79</v>
      </c>
      <c r="J22" s="102">
        <v>0</v>
      </c>
      <c r="K22" s="103">
        <f t="shared" si="0"/>
        <v>1991.21</v>
      </c>
      <c r="L22" s="46"/>
    </row>
    <row r="23" spans="2:12" x14ac:dyDescent="0.25">
      <c r="B23" s="185" t="s">
        <v>41</v>
      </c>
      <c r="C23" s="100">
        <v>3159</v>
      </c>
      <c r="D23" s="100">
        <v>1750</v>
      </c>
      <c r="E23" s="100">
        <v>0</v>
      </c>
      <c r="F23" s="15">
        <f>SUM(C23:D23)</f>
        <v>4909</v>
      </c>
      <c r="H23" s="102">
        <v>5739.18</v>
      </c>
      <c r="I23" s="102">
        <v>3634.42</v>
      </c>
      <c r="J23" s="102">
        <v>2600</v>
      </c>
      <c r="K23" s="103">
        <f t="shared" si="0"/>
        <v>-495.23999999999978</v>
      </c>
      <c r="L23" t="s">
        <v>337</v>
      </c>
    </row>
    <row r="24" spans="2:12" x14ac:dyDescent="0.25">
      <c r="B24" s="185" t="s">
        <v>42</v>
      </c>
      <c r="C24" s="100">
        <v>12760</v>
      </c>
      <c r="D24" s="100">
        <v>1500</v>
      </c>
      <c r="E24" s="100">
        <v>9100</v>
      </c>
      <c r="F24" s="15">
        <f>SUM(C24:D24)</f>
        <v>14260</v>
      </c>
      <c r="H24" s="102">
        <v>24695.85</v>
      </c>
      <c r="I24" s="102">
        <v>21547.77</v>
      </c>
      <c r="J24" s="102">
        <v>2200</v>
      </c>
      <c r="K24" s="103">
        <f t="shared" si="0"/>
        <v>948.07999999999811</v>
      </c>
    </row>
    <row r="25" spans="2:12" x14ac:dyDescent="0.25">
      <c r="B25" s="185" t="s">
        <v>266</v>
      </c>
      <c r="C25" s="100">
        <v>2919</v>
      </c>
      <c r="D25" s="100"/>
      <c r="E25" s="100">
        <v>0</v>
      </c>
      <c r="F25" s="100">
        <v>2919</v>
      </c>
      <c r="H25" s="102">
        <v>2919</v>
      </c>
      <c r="I25" s="102">
        <v>2015.21</v>
      </c>
      <c r="J25" s="102">
        <v>557</v>
      </c>
      <c r="K25" s="103">
        <f t="shared" si="0"/>
        <v>346.78999999999996</v>
      </c>
    </row>
    <row r="26" spans="2:12" x14ac:dyDescent="0.25">
      <c r="B26" s="185" t="s">
        <v>43</v>
      </c>
      <c r="C26" s="100">
        <v>3014</v>
      </c>
      <c r="D26" s="100"/>
      <c r="E26" s="100">
        <v>201</v>
      </c>
      <c r="F26" s="100">
        <v>3014</v>
      </c>
      <c r="H26" s="102">
        <v>3444</v>
      </c>
      <c r="I26" s="102">
        <v>1879.06</v>
      </c>
      <c r="J26" s="102">
        <v>873</v>
      </c>
      <c r="K26" s="103">
        <f t="shared" si="0"/>
        <v>691.94</v>
      </c>
    </row>
    <row r="27" spans="2:12" x14ac:dyDescent="0.25">
      <c r="B27" s="185" t="s">
        <v>168</v>
      </c>
      <c r="C27" s="100">
        <v>3494</v>
      </c>
      <c r="D27" s="100"/>
      <c r="E27" s="100">
        <v>250</v>
      </c>
      <c r="F27" s="100">
        <v>3494</v>
      </c>
      <c r="H27" s="102">
        <v>3974.1</v>
      </c>
      <c r="I27" s="102">
        <v>1280.8499999999999</v>
      </c>
      <c r="J27" s="102">
        <v>0</v>
      </c>
      <c r="K27" s="103">
        <f t="shared" si="0"/>
        <v>2693.25</v>
      </c>
    </row>
    <row r="28" spans="2:12" x14ac:dyDescent="0.25">
      <c r="B28" s="185" t="s">
        <v>44</v>
      </c>
      <c r="C28" s="100">
        <v>5550</v>
      </c>
      <c r="D28" s="100"/>
      <c r="E28" s="100">
        <v>0</v>
      </c>
      <c r="F28" s="100">
        <v>5550</v>
      </c>
      <c r="H28" s="102">
        <v>0</v>
      </c>
      <c r="I28" s="102">
        <v>0</v>
      </c>
      <c r="J28" s="102">
        <v>0</v>
      </c>
      <c r="K28" s="103" t="s">
        <v>323</v>
      </c>
    </row>
    <row r="29" spans="2:12" x14ac:dyDescent="0.25">
      <c r="B29" s="185" t="s">
        <v>169</v>
      </c>
      <c r="C29" s="100">
        <v>18359</v>
      </c>
      <c r="D29" s="100">
        <v>4520</v>
      </c>
      <c r="E29" s="100">
        <v>4914</v>
      </c>
      <c r="F29" s="15">
        <f>SUM(C29:D29)</f>
        <v>22879</v>
      </c>
      <c r="H29" s="102">
        <v>21885</v>
      </c>
      <c r="I29" s="102">
        <v>11787.43</v>
      </c>
      <c r="J29" s="102">
        <v>4500</v>
      </c>
      <c r="K29" s="103">
        <f t="shared" si="0"/>
        <v>5597.57</v>
      </c>
    </row>
    <row r="30" spans="2:12" x14ac:dyDescent="0.25">
      <c r="B30" s="185" t="s">
        <v>170</v>
      </c>
      <c r="C30" s="100">
        <v>10297</v>
      </c>
      <c r="D30" s="100"/>
      <c r="E30" s="100">
        <v>3370</v>
      </c>
      <c r="F30" s="100">
        <v>10297</v>
      </c>
      <c r="H30" s="102">
        <v>16177</v>
      </c>
      <c r="I30" s="102">
        <v>14297.68</v>
      </c>
      <c r="J30" s="102">
        <v>1750</v>
      </c>
      <c r="K30" s="103">
        <f>H30-I30-J30</f>
        <v>129.31999999999971</v>
      </c>
      <c r="L30" s="46"/>
    </row>
    <row r="31" spans="2:12" x14ac:dyDescent="0.25">
      <c r="B31" s="185" t="s">
        <v>267</v>
      </c>
      <c r="C31" s="100">
        <v>2425</v>
      </c>
      <c r="D31" s="100"/>
      <c r="E31" s="100">
        <v>0</v>
      </c>
      <c r="F31" s="100">
        <v>2425</v>
      </c>
      <c r="H31" s="102">
        <v>2455.65</v>
      </c>
      <c r="I31" s="102">
        <v>514.41</v>
      </c>
      <c r="J31" s="102">
        <v>1195</v>
      </c>
      <c r="K31" s="103">
        <f t="shared" si="0"/>
        <v>746.24000000000024</v>
      </c>
    </row>
    <row r="32" spans="2:12" x14ac:dyDescent="0.25">
      <c r="B32" s="185" t="s">
        <v>45</v>
      </c>
      <c r="C32" s="100">
        <v>4399</v>
      </c>
      <c r="D32" s="100"/>
      <c r="E32" s="100">
        <v>18000</v>
      </c>
      <c r="F32" s="100">
        <v>4399</v>
      </c>
      <c r="H32" s="102">
        <v>23185.07</v>
      </c>
      <c r="I32" s="102">
        <f>12153.78+57.05</f>
        <v>12210.83</v>
      </c>
      <c r="J32" s="102">
        <v>10546</v>
      </c>
      <c r="K32" s="103">
        <f t="shared" si="0"/>
        <v>428.23999999999978</v>
      </c>
    </row>
    <row r="33" spans="2:12" x14ac:dyDescent="0.25">
      <c r="B33" s="185" t="s">
        <v>46</v>
      </c>
      <c r="C33" s="100">
        <v>2758</v>
      </c>
      <c r="D33" s="100"/>
      <c r="E33" s="100">
        <v>0</v>
      </c>
      <c r="F33" s="100">
        <v>2758</v>
      </c>
      <c r="H33" s="102">
        <v>2758</v>
      </c>
      <c r="I33" s="102">
        <v>1269.3399999999999</v>
      </c>
      <c r="J33" s="102">
        <v>0</v>
      </c>
      <c r="K33" s="103">
        <f t="shared" si="0"/>
        <v>1488.66</v>
      </c>
    </row>
    <row r="34" spans="2:12" x14ac:dyDescent="0.25">
      <c r="B34" s="185" t="s">
        <v>47</v>
      </c>
      <c r="C34" s="100">
        <v>2607</v>
      </c>
      <c r="D34" s="100"/>
      <c r="E34" s="100">
        <v>0</v>
      </c>
      <c r="F34" s="100">
        <v>2607</v>
      </c>
      <c r="H34" s="102">
        <v>2607</v>
      </c>
      <c r="I34" s="102">
        <v>780.09</v>
      </c>
      <c r="J34" s="102">
        <v>700</v>
      </c>
      <c r="K34" s="103">
        <f t="shared" si="0"/>
        <v>1126.9099999999999</v>
      </c>
    </row>
    <row r="35" spans="2:12" x14ac:dyDescent="0.25">
      <c r="B35" s="185" t="s">
        <v>268</v>
      </c>
      <c r="C35" s="100">
        <v>3075</v>
      </c>
      <c r="D35" s="100">
        <v>-164.17</v>
      </c>
      <c r="E35" s="100">
        <v>9510</v>
      </c>
      <c r="F35" s="15">
        <f>SUM(C35:D35)</f>
        <v>2910.83</v>
      </c>
      <c r="H35" s="102">
        <v>8079.46</v>
      </c>
      <c r="I35" s="102">
        <v>6923.95</v>
      </c>
      <c r="J35" s="102">
        <v>955</v>
      </c>
      <c r="K35" s="103">
        <f t="shared" si="0"/>
        <v>200.51000000000022</v>
      </c>
    </row>
    <row r="36" spans="2:12" x14ac:dyDescent="0.25">
      <c r="B36" s="185" t="s">
        <v>48</v>
      </c>
      <c r="C36" s="100">
        <v>4440</v>
      </c>
      <c r="D36" s="100">
        <v>845.04</v>
      </c>
      <c r="E36" s="100">
        <v>2310</v>
      </c>
      <c r="F36" s="15">
        <f>SUM(C36:D36)</f>
        <v>5285.04</v>
      </c>
      <c r="H36" s="102">
        <v>7058.53</v>
      </c>
      <c r="I36" s="102">
        <v>5771.67</v>
      </c>
      <c r="J36" s="102">
        <v>780</v>
      </c>
      <c r="K36" s="103">
        <f t="shared" si="0"/>
        <v>506.85999999999967</v>
      </c>
    </row>
    <row r="37" spans="2:12" x14ac:dyDescent="0.25">
      <c r="B37" s="185" t="s">
        <v>269</v>
      </c>
      <c r="C37" s="100">
        <v>12457</v>
      </c>
      <c r="D37" s="100"/>
      <c r="E37" s="100">
        <v>0</v>
      </c>
      <c r="F37" s="100">
        <v>12457</v>
      </c>
      <c r="H37" s="102">
        <v>0</v>
      </c>
      <c r="I37" s="102">
        <v>0</v>
      </c>
      <c r="J37" s="102">
        <v>2000</v>
      </c>
      <c r="K37" s="103" t="s">
        <v>323</v>
      </c>
    </row>
    <row r="38" spans="2:12" x14ac:dyDescent="0.25">
      <c r="B38" s="185" t="s">
        <v>49</v>
      </c>
      <c r="C38" s="100">
        <v>5014</v>
      </c>
      <c r="D38" s="100"/>
      <c r="E38" s="100">
        <v>3950</v>
      </c>
      <c r="F38" s="100">
        <v>5014</v>
      </c>
      <c r="H38" s="102">
        <v>9351.0300000000007</v>
      </c>
      <c r="I38" s="102">
        <v>3595.98</v>
      </c>
      <c r="J38" s="102">
        <v>5426</v>
      </c>
      <c r="K38" s="103">
        <f t="shared" si="0"/>
        <v>329.05000000000109</v>
      </c>
    </row>
    <row r="39" spans="2:12" x14ac:dyDescent="0.25">
      <c r="B39" s="185" t="s">
        <v>50</v>
      </c>
      <c r="C39" s="100">
        <v>5217</v>
      </c>
      <c r="D39" s="100">
        <v>1500</v>
      </c>
      <c r="E39" s="100">
        <v>8000</v>
      </c>
      <c r="F39" s="15">
        <f>SUM(C39:D39)</f>
        <v>6717</v>
      </c>
      <c r="H39" s="102">
        <v>11197</v>
      </c>
      <c r="I39" s="102">
        <v>8247.81</v>
      </c>
      <c r="J39" s="102">
        <v>2788</v>
      </c>
      <c r="K39" s="103">
        <f t="shared" si="0"/>
        <v>161.19000000000051</v>
      </c>
    </row>
    <row r="40" spans="2:12" x14ac:dyDescent="0.25">
      <c r="B40" s="185" t="s">
        <v>270</v>
      </c>
      <c r="C40" s="100">
        <v>2629</v>
      </c>
      <c r="D40" s="100"/>
      <c r="E40" s="100">
        <v>0</v>
      </c>
      <c r="F40" s="100">
        <v>2629</v>
      </c>
      <c r="H40" s="102">
        <v>2629</v>
      </c>
      <c r="I40" s="102">
        <v>365.99</v>
      </c>
      <c r="J40" s="102">
        <v>0</v>
      </c>
      <c r="K40" s="103">
        <f t="shared" si="0"/>
        <v>2263.0100000000002</v>
      </c>
    </row>
    <row r="41" spans="2:12" x14ac:dyDescent="0.25">
      <c r="B41" s="185" t="s">
        <v>51</v>
      </c>
      <c r="C41" s="100">
        <v>4065</v>
      </c>
      <c r="D41" s="100"/>
      <c r="E41" s="100">
        <v>470</v>
      </c>
      <c r="F41" s="100">
        <v>4065</v>
      </c>
      <c r="H41" s="102">
        <v>4970</v>
      </c>
      <c r="I41" s="102">
        <v>2330.67</v>
      </c>
      <c r="J41" s="102">
        <v>200</v>
      </c>
      <c r="K41" s="103">
        <f t="shared" si="0"/>
        <v>2439.33</v>
      </c>
    </row>
    <row r="42" spans="2:12" x14ac:dyDescent="0.25">
      <c r="B42" s="185" t="s">
        <v>52</v>
      </c>
      <c r="C42" s="100">
        <v>2310</v>
      </c>
      <c r="D42" s="100"/>
      <c r="E42" s="100">
        <v>0</v>
      </c>
      <c r="F42" s="100">
        <v>2310</v>
      </c>
      <c r="H42" s="102">
        <v>2310</v>
      </c>
      <c r="I42" s="102">
        <v>0</v>
      </c>
      <c r="J42" s="112">
        <v>0</v>
      </c>
      <c r="K42" s="103">
        <f t="shared" si="0"/>
        <v>2310</v>
      </c>
    </row>
    <row r="43" spans="2:12" x14ac:dyDescent="0.25">
      <c r="B43" s="185" t="s">
        <v>53</v>
      </c>
      <c r="C43" s="100">
        <v>2870</v>
      </c>
      <c r="D43" s="100"/>
      <c r="E43" s="100">
        <v>800</v>
      </c>
      <c r="F43" s="100">
        <v>2870</v>
      </c>
      <c r="H43" s="102">
        <v>3215.64</v>
      </c>
      <c r="I43" s="102">
        <v>1588.08</v>
      </c>
      <c r="J43" s="112">
        <v>0</v>
      </c>
      <c r="K43" s="103">
        <f t="shared" si="0"/>
        <v>1627.56</v>
      </c>
    </row>
    <row r="44" spans="2:12" x14ac:dyDescent="0.25">
      <c r="B44" s="185" t="s">
        <v>186</v>
      </c>
      <c r="C44" s="100">
        <v>2698</v>
      </c>
      <c r="D44" s="100"/>
      <c r="E44" s="100">
        <v>0</v>
      </c>
      <c r="F44" s="100">
        <v>2698</v>
      </c>
      <c r="H44" s="102">
        <v>2698</v>
      </c>
      <c r="I44" s="102">
        <v>1065.32</v>
      </c>
      <c r="J44" s="112">
        <v>0</v>
      </c>
      <c r="K44" s="103">
        <f t="shared" si="0"/>
        <v>1632.68</v>
      </c>
    </row>
    <row r="45" spans="2:12" x14ac:dyDescent="0.25">
      <c r="B45" s="185" t="s">
        <v>271</v>
      </c>
      <c r="C45" s="100">
        <v>4351</v>
      </c>
      <c r="D45" s="100"/>
      <c r="E45" s="100">
        <v>2050</v>
      </c>
      <c r="F45" s="100">
        <v>4351</v>
      </c>
      <c r="H45" s="102">
        <v>10478.950000000001</v>
      </c>
      <c r="I45" s="102">
        <v>8502.41</v>
      </c>
      <c r="J45" s="112">
        <v>1000</v>
      </c>
      <c r="K45" s="103">
        <f t="shared" si="0"/>
        <v>976.54000000000087</v>
      </c>
    </row>
    <row r="46" spans="2:12" x14ac:dyDescent="0.25">
      <c r="B46" s="185" t="s">
        <v>171</v>
      </c>
      <c r="C46" s="100">
        <v>3716</v>
      </c>
      <c r="D46" s="100"/>
      <c r="E46" s="100">
        <v>0</v>
      </c>
      <c r="F46" s="100">
        <v>3716</v>
      </c>
      <c r="H46" s="102">
        <v>4082.8</v>
      </c>
      <c r="I46" s="102">
        <v>1087.25</v>
      </c>
      <c r="J46" s="112">
        <v>0</v>
      </c>
      <c r="K46" s="103">
        <f t="shared" si="0"/>
        <v>2995.55</v>
      </c>
    </row>
    <row r="47" spans="2:12" x14ac:dyDescent="0.25">
      <c r="B47" s="185" t="s">
        <v>172</v>
      </c>
      <c r="C47" s="100">
        <v>2777</v>
      </c>
      <c r="D47" s="100"/>
      <c r="E47" s="100">
        <v>600</v>
      </c>
      <c r="F47" s="100">
        <v>2777</v>
      </c>
      <c r="H47" s="102">
        <v>3132.64</v>
      </c>
      <c r="I47" s="102">
        <v>3444.16</v>
      </c>
      <c r="J47" s="112">
        <v>0</v>
      </c>
      <c r="K47" s="103">
        <f t="shared" si="0"/>
        <v>-311.52</v>
      </c>
    </row>
    <row r="48" spans="2:12" x14ac:dyDescent="0.25">
      <c r="B48" s="185" t="s">
        <v>173</v>
      </c>
      <c r="C48" s="100">
        <v>4299</v>
      </c>
      <c r="D48" s="100">
        <v>300</v>
      </c>
      <c r="E48" s="100">
        <v>1155</v>
      </c>
      <c r="F48" s="15">
        <f>SUM(C48:D48)</f>
        <v>4599</v>
      </c>
      <c r="H48" s="102">
        <v>5439</v>
      </c>
      <c r="I48" s="102">
        <v>4398.37</v>
      </c>
      <c r="J48" s="112">
        <v>1927</v>
      </c>
      <c r="K48" s="103">
        <f t="shared" si="0"/>
        <v>-886.36999999999989</v>
      </c>
      <c r="L48" s="13" t="s">
        <v>337</v>
      </c>
    </row>
    <row r="49" spans="2:12" x14ac:dyDescent="0.25">
      <c r="B49" s="185" t="s">
        <v>54</v>
      </c>
      <c r="C49" s="100">
        <v>2733</v>
      </c>
      <c r="D49" s="100"/>
      <c r="E49" s="100">
        <v>0</v>
      </c>
      <c r="F49" s="100">
        <v>2733</v>
      </c>
      <c r="H49" s="102">
        <v>2932.61</v>
      </c>
      <c r="I49" s="102">
        <v>819.2</v>
      </c>
      <c r="J49" s="112">
        <v>600</v>
      </c>
      <c r="K49" s="103">
        <f t="shared" si="0"/>
        <v>1513.4099999999999</v>
      </c>
    </row>
    <row r="50" spans="2:12" x14ac:dyDescent="0.25">
      <c r="B50" s="185" t="s">
        <v>174</v>
      </c>
      <c r="C50" s="100">
        <v>4290</v>
      </c>
      <c r="D50" s="100"/>
      <c r="E50" s="100">
        <v>600</v>
      </c>
      <c r="F50" s="100">
        <v>4290</v>
      </c>
      <c r="H50" s="102">
        <v>4643.47</v>
      </c>
      <c r="I50" s="102">
        <v>3359.65</v>
      </c>
      <c r="J50" s="112">
        <v>1569</v>
      </c>
      <c r="K50" s="103">
        <f t="shared" si="0"/>
        <v>-285.17999999999984</v>
      </c>
      <c r="L50" s="13" t="s">
        <v>337</v>
      </c>
    </row>
    <row r="51" spans="2:12" x14ac:dyDescent="0.25">
      <c r="B51" s="185" t="s">
        <v>272</v>
      </c>
      <c r="C51" s="100">
        <v>2625</v>
      </c>
      <c r="D51" s="100">
        <v>40.14</v>
      </c>
      <c r="E51" s="100">
        <v>0</v>
      </c>
      <c r="F51" s="15">
        <f>SUM(C51:D51)</f>
        <v>2665.14</v>
      </c>
      <c r="H51" s="102">
        <v>3264.75</v>
      </c>
      <c r="I51" s="102">
        <v>1246.1600000000001</v>
      </c>
      <c r="J51" s="112">
        <v>0</v>
      </c>
      <c r="K51" s="103">
        <f t="shared" si="0"/>
        <v>2018.59</v>
      </c>
    </row>
    <row r="52" spans="2:12" x14ac:dyDescent="0.25">
      <c r="B52" s="185" t="s">
        <v>175</v>
      </c>
      <c r="C52" s="100">
        <v>6090</v>
      </c>
      <c r="D52" s="100"/>
      <c r="E52" s="100">
        <v>9160</v>
      </c>
      <c r="F52" s="100">
        <v>6090</v>
      </c>
      <c r="H52" s="102">
        <v>15652.49</v>
      </c>
      <c r="I52" s="102">
        <v>12917.39</v>
      </c>
      <c r="J52" s="112">
        <v>2300</v>
      </c>
      <c r="K52" s="103">
        <f t="shared" si="0"/>
        <v>435.10000000000036</v>
      </c>
    </row>
    <row r="53" spans="2:12" x14ac:dyDescent="0.25">
      <c r="B53" s="185" t="s">
        <v>55</v>
      </c>
      <c r="C53" s="100">
        <v>4413</v>
      </c>
      <c r="D53" s="100"/>
      <c r="E53" s="100">
        <v>0</v>
      </c>
      <c r="F53" s="100">
        <v>4413</v>
      </c>
      <c r="H53" s="102">
        <v>5117.97</v>
      </c>
      <c r="I53" s="102">
        <v>3568.41</v>
      </c>
      <c r="J53" s="112">
        <v>0</v>
      </c>
      <c r="K53" s="103">
        <f t="shared" si="0"/>
        <v>1549.5600000000004</v>
      </c>
    </row>
    <row r="54" spans="2:12" s="13" customFormat="1" x14ac:dyDescent="0.25">
      <c r="B54" s="185"/>
      <c r="C54" s="100"/>
      <c r="D54" s="100"/>
      <c r="E54" s="100"/>
      <c r="F54" s="100"/>
      <c r="H54" s="102"/>
      <c r="I54" s="102"/>
      <c r="J54" s="112"/>
      <c r="K54" s="103"/>
    </row>
    <row r="55" spans="2:12" s="13" customFormat="1" x14ac:dyDescent="0.25">
      <c r="B55" s="185" t="s">
        <v>332</v>
      </c>
      <c r="C55" s="100"/>
      <c r="D55" s="100">
        <v>11850</v>
      </c>
      <c r="E55" s="100"/>
      <c r="F55" s="100">
        <v>11850</v>
      </c>
      <c r="H55" s="102">
        <v>12345.27</v>
      </c>
      <c r="I55" s="102">
        <v>12345.27</v>
      </c>
      <c r="J55" s="112"/>
      <c r="K55" s="103">
        <f>SUM(I55-H55)</f>
        <v>0</v>
      </c>
    </row>
    <row r="56" spans="2:12" s="13" customFormat="1" x14ac:dyDescent="0.25">
      <c r="B56" s="185"/>
      <c r="C56" s="100"/>
      <c r="D56" s="100"/>
      <c r="E56" s="100"/>
      <c r="F56" s="100"/>
      <c r="H56" s="102"/>
      <c r="I56" s="102"/>
      <c r="J56" s="112"/>
      <c r="K56" s="103"/>
    </row>
    <row r="57" spans="2:12" s="2" customFormat="1" x14ac:dyDescent="0.25">
      <c r="B57" s="18" t="s">
        <v>176</v>
      </c>
      <c r="C57" s="19">
        <f>SUM(C5:C53)</f>
        <v>224100</v>
      </c>
      <c r="D57" s="19">
        <f>SUM(D5:D56)</f>
        <v>29593.219999999998</v>
      </c>
      <c r="E57" s="19"/>
      <c r="F57" s="21">
        <f>SUM(F5:F56)</f>
        <v>253693.22</v>
      </c>
      <c r="H57" s="113">
        <f>SUM(H5:H56)</f>
        <v>420353.46000000008</v>
      </c>
      <c r="I57" s="113">
        <f>SUM(I5:I56)</f>
        <v>300534.78000000003</v>
      </c>
      <c r="J57" s="114">
        <f>SUM(J5:J53)</f>
        <v>48536.07</v>
      </c>
      <c r="K57" s="114">
        <f>SUM(K5:K53)</f>
        <v>73282.61000000003</v>
      </c>
    </row>
    <row r="58" spans="2:12" ht="34.5" customHeight="1" x14ac:dyDescent="0.25">
      <c r="B58" s="99"/>
      <c r="C58" s="35"/>
      <c r="D58" s="99"/>
      <c r="E58" s="99"/>
      <c r="F58" s="13"/>
    </row>
    <row r="59" spans="2:12" x14ac:dyDescent="0.25">
      <c r="B59" s="227"/>
      <c r="C59" s="227"/>
      <c r="D59" s="227"/>
      <c r="E59" s="227"/>
      <c r="F59" s="227"/>
    </row>
    <row r="60" spans="2:12" ht="84.75" customHeight="1" x14ac:dyDescent="0.25">
      <c r="B60" s="226"/>
      <c r="C60" s="226"/>
      <c r="D60" s="226"/>
      <c r="E60" s="226"/>
      <c r="F60" s="226"/>
      <c r="H60" s="46"/>
    </row>
    <row r="61" spans="2:12" ht="60" customHeight="1" x14ac:dyDescent="0.25">
      <c r="B61" s="98"/>
      <c r="C61" s="34"/>
      <c r="D61" s="98"/>
      <c r="E61" s="104"/>
      <c r="F61" s="14"/>
    </row>
  </sheetData>
  <mergeCells count="4">
    <mergeCell ref="I3:K3"/>
    <mergeCell ref="B60:F60"/>
    <mergeCell ref="B59:F59"/>
    <mergeCell ref="C3:F3"/>
  </mergeCells>
  <pageMargins left="0.7" right="0.7" top="0.78740157499999996" bottom="0.78740157499999996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0320-FD0C-4640-9B20-7A7600294096}">
  <sheetPr>
    <pageSetUpPr fitToPage="1"/>
  </sheetPr>
  <dimension ref="B3:M25"/>
  <sheetViews>
    <sheetView tabSelected="1" workbookViewId="0">
      <selection activeCell="B3" sqref="B3:I25"/>
    </sheetView>
  </sheetViews>
  <sheetFormatPr baseColWidth="10" defaultRowHeight="15" x14ac:dyDescent="0.25"/>
  <cols>
    <col min="2" max="2" width="27.7109375" customWidth="1"/>
    <col min="3" max="3" width="15.85546875" customWidth="1"/>
    <col min="6" max="6" width="15.5703125" customWidth="1"/>
    <col min="7" max="7" width="22.7109375" customWidth="1"/>
    <col min="8" max="8" width="30.7109375" customWidth="1"/>
    <col min="9" max="9" width="68.140625" customWidth="1"/>
    <col min="12" max="12" width="14" customWidth="1"/>
    <col min="13" max="13" width="20.85546875" customWidth="1"/>
  </cols>
  <sheetData>
    <row r="3" spans="2:8" x14ac:dyDescent="0.25">
      <c r="B3" s="228" t="s">
        <v>283</v>
      </c>
      <c r="C3" s="228"/>
      <c r="D3" s="228"/>
      <c r="E3" s="228"/>
      <c r="F3" s="228"/>
      <c r="G3" s="13"/>
    </row>
    <row r="4" spans="2:8" ht="15.75" thickBot="1" x14ac:dyDescent="0.3">
      <c r="B4" s="13"/>
      <c r="C4" s="116"/>
      <c r="D4" s="13"/>
      <c r="E4" s="13"/>
      <c r="F4" s="13"/>
      <c r="G4" s="13"/>
    </row>
    <row r="5" spans="2:8" ht="15.75" thickBot="1" x14ac:dyDescent="0.3">
      <c r="B5" s="120"/>
      <c r="C5" s="121" t="s">
        <v>305</v>
      </c>
      <c r="D5" s="122" t="s">
        <v>306</v>
      </c>
      <c r="E5" s="122" t="s">
        <v>307</v>
      </c>
      <c r="F5" s="122" t="s">
        <v>284</v>
      </c>
      <c r="G5" s="122" t="s">
        <v>308</v>
      </c>
      <c r="H5" s="147" t="s">
        <v>322</v>
      </c>
    </row>
    <row r="6" spans="2:8" x14ac:dyDescent="0.25">
      <c r="B6" s="120" t="s">
        <v>285</v>
      </c>
      <c r="C6" s="121">
        <v>3</v>
      </c>
      <c r="D6" s="122"/>
      <c r="E6" s="122"/>
      <c r="F6" s="122"/>
      <c r="G6" s="133"/>
      <c r="H6" s="146"/>
    </row>
    <row r="7" spans="2:8" x14ac:dyDescent="0.25">
      <c r="B7" s="125" t="s">
        <v>286</v>
      </c>
      <c r="C7" s="126">
        <v>1</v>
      </c>
      <c r="D7" s="126" t="s">
        <v>302</v>
      </c>
      <c r="E7" s="126">
        <v>2</v>
      </c>
      <c r="F7" s="126">
        <v>8.08</v>
      </c>
      <c r="G7" s="134">
        <v>35</v>
      </c>
      <c r="H7" s="143">
        <v>9109.7819126975446</v>
      </c>
    </row>
    <row r="8" spans="2:8" x14ac:dyDescent="0.25">
      <c r="B8" s="125" t="s">
        <v>287</v>
      </c>
      <c r="C8" s="126">
        <v>1</v>
      </c>
      <c r="D8" s="126" t="s">
        <v>288</v>
      </c>
      <c r="E8" s="126">
        <v>6</v>
      </c>
      <c r="F8" s="126">
        <v>19.75</v>
      </c>
      <c r="G8" s="135">
        <v>50</v>
      </c>
      <c r="H8" s="143">
        <v>49926.373983777703</v>
      </c>
    </row>
    <row r="9" spans="2:8" x14ac:dyDescent="0.25">
      <c r="B9" s="125" t="s">
        <v>289</v>
      </c>
      <c r="C9" s="126">
        <v>1</v>
      </c>
      <c r="D9" s="126" t="s">
        <v>302</v>
      </c>
      <c r="E9" s="126">
        <v>1</v>
      </c>
      <c r="F9" s="127">
        <v>7.5</v>
      </c>
      <c r="G9" s="136">
        <v>19</v>
      </c>
      <c r="H9" s="143">
        <v>8345.709377359035</v>
      </c>
    </row>
    <row r="10" spans="2:8" ht="16.5" thickBot="1" x14ac:dyDescent="0.3">
      <c r="B10" s="137"/>
      <c r="C10" s="138"/>
      <c r="D10" s="139"/>
      <c r="E10" s="139"/>
      <c r="F10" s="139"/>
      <c r="G10" s="140"/>
      <c r="H10" s="144" t="s">
        <v>309</v>
      </c>
    </row>
    <row r="11" spans="2:8" x14ac:dyDescent="0.25">
      <c r="B11" s="120" t="s">
        <v>291</v>
      </c>
      <c r="C11" s="121">
        <v>1</v>
      </c>
      <c r="D11" s="141"/>
      <c r="E11" s="141"/>
      <c r="F11" s="141"/>
      <c r="G11" s="142"/>
      <c r="H11" s="146" t="s">
        <v>309</v>
      </c>
    </row>
    <row r="12" spans="2:8" x14ac:dyDescent="0.25">
      <c r="B12" s="125" t="s">
        <v>292</v>
      </c>
      <c r="C12" s="126">
        <v>1</v>
      </c>
      <c r="D12" s="126" t="s">
        <v>303</v>
      </c>
      <c r="E12" s="126">
        <v>3</v>
      </c>
      <c r="F12" s="126">
        <v>9.1999999999999993</v>
      </c>
      <c r="G12" s="135">
        <v>23</v>
      </c>
      <c r="H12" s="143">
        <v>11283.037053828415</v>
      </c>
    </row>
    <row r="13" spans="2:8" ht="16.5" thickBot="1" x14ac:dyDescent="0.3">
      <c r="B13" s="137"/>
      <c r="C13" s="138"/>
      <c r="D13" s="139"/>
      <c r="E13" s="139"/>
      <c r="F13" s="139"/>
      <c r="G13" s="140"/>
      <c r="H13" s="144" t="s">
        <v>309</v>
      </c>
    </row>
    <row r="14" spans="2:8" x14ac:dyDescent="0.25">
      <c r="B14" s="120" t="s">
        <v>293</v>
      </c>
      <c r="C14" s="121">
        <v>2</v>
      </c>
      <c r="D14" s="141"/>
      <c r="E14" s="141"/>
      <c r="F14" s="141"/>
      <c r="G14" s="142"/>
      <c r="H14" s="146" t="s">
        <v>309</v>
      </c>
    </row>
    <row r="15" spans="2:8" x14ac:dyDescent="0.25">
      <c r="B15" s="125" t="s">
        <v>294</v>
      </c>
      <c r="C15" s="126">
        <v>1</v>
      </c>
      <c r="D15" s="129" t="s">
        <v>304</v>
      </c>
      <c r="E15" s="126">
        <v>1</v>
      </c>
      <c r="F15" s="126">
        <v>6.92</v>
      </c>
      <c r="G15" s="135">
        <v>25</v>
      </c>
      <c r="H15" s="143">
        <v>9548.7428685452942</v>
      </c>
    </row>
    <row r="16" spans="2:8" x14ac:dyDescent="0.25">
      <c r="B16" s="125" t="s">
        <v>295</v>
      </c>
      <c r="C16" s="126">
        <v>1</v>
      </c>
      <c r="D16" s="126" t="s">
        <v>296</v>
      </c>
      <c r="E16" s="129">
        <v>4</v>
      </c>
      <c r="F16" s="126">
        <v>10</v>
      </c>
      <c r="G16" s="135">
        <v>25</v>
      </c>
      <c r="H16" s="143">
        <v>16158.649198825116</v>
      </c>
    </row>
    <row r="17" spans="2:13" ht="16.5" thickBot="1" x14ac:dyDescent="0.3">
      <c r="B17" s="137"/>
      <c r="C17" s="138"/>
      <c r="D17" s="139"/>
      <c r="E17" s="139"/>
      <c r="F17" s="139"/>
      <c r="G17" s="140"/>
      <c r="H17" s="144"/>
    </row>
    <row r="18" spans="2:13" x14ac:dyDescent="0.25">
      <c r="B18" s="120" t="s">
        <v>297</v>
      </c>
      <c r="C18" s="121">
        <v>1</v>
      </c>
      <c r="D18" s="141"/>
      <c r="E18" s="141"/>
      <c r="F18" s="141"/>
      <c r="G18" s="142"/>
      <c r="H18" s="146" t="s">
        <v>309</v>
      </c>
    </row>
    <row r="19" spans="2:13" x14ac:dyDescent="0.25">
      <c r="B19" s="125" t="s">
        <v>298</v>
      </c>
      <c r="C19" s="126">
        <v>1</v>
      </c>
      <c r="D19" s="126" t="s">
        <v>290</v>
      </c>
      <c r="E19" s="126">
        <v>3</v>
      </c>
      <c r="F19" s="127">
        <v>11.75</v>
      </c>
      <c r="G19" s="136">
        <v>30</v>
      </c>
      <c r="H19" s="143">
        <v>17228.710436877998</v>
      </c>
    </row>
    <row r="20" spans="2:13" ht="16.5" thickBot="1" x14ac:dyDescent="0.3">
      <c r="B20" s="137"/>
      <c r="C20" s="138"/>
      <c r="D20" s="139"/>
      <c r="E20" s="139"/>
      <c r="F20" s="139"/>
      <c r="G20" s="140"/>
      <c r="H20" s="144" t="s">
        <v>309</v>
      </c>
    </row>
    <row r="21" spans="2:13" x14ac:dyDescent="0.25">
      <c r="B21" s="123" t="s">
        <v>94</v>
      </c>
      <c r="C21" s="124">
        <v>2</v>
      </c>
      <c r="D21" s="128"/>
      <c r="E21" s="128"/>
      <c r="F21" s="128"/>
      <c r="G21" s="128"/>
      <c r="H21" s="146"/>
    </row>
    <row r="22" spans="2:13" x14ac:dyDescent="0.25">
      <c r="B22" s="125" t="s">
        <v>299</v>
      </c>
      <c r="C22" s="126">
        <v>1</v>
      </c>
      <c r="D22" s="126" t="s">
        <v>300</v>
      </c>
      <c r="E22" s="126">
        <v>3</v>
      </c>
      <c r="F22" s="126">
        <v>10.5</v>
      </c>
      <c r="G22" s="126">
        <v>27</v>
      </c>
      <c r="H22" s="145">
        <v>11426.960981633831</v>
      </c>
    </row>
    <row r="23" spans="2:13" ht="15.75" thickBot="1" x14ac:dyDescent="0.3">
      <c r="B23" s="130" t="s">
        <v>301</v>
      </c>
      <c r="C23" s="131">
        <v>1</v>
      </c>
      <c r="D23" s="131" t="s">
        <v>296</v>
      </c>
      <c r="E23" s="131">
        <v>2</v>
      </c>
      <c r="F23" s="131">
        <v>9.67</v>
      </c>
      <c r="G23" s="132">
        <v>24</v>
      </c>
      <c r="H23" s="144">
        <v>13364.390336289038</v>
      </c>
      <c r="I23" s="117"/>
      <c r="J23" s="118"/>
      <c r="K23" s="118"/>
      <c r="L23" s="118"/>
      <c r="M23" s="119"/>
    </row>
    <row r="24" spans="2:13" x14ac:dyDescent="0.25">
      <c r="H24" s="117"/>
      <c r="I24" s="117"/>
      <c r="J24" s="118"/>
      <c r="K24" s="118"/>
      <c r="L24" s="118"/>
      <c r="M24" s="119"/>
    </row>
    <row r="25" spans="2:13" x14ac:dyDescent="0.25">
      <c r="G25" t="s">
        <v>310</v>
      </c>
      <c r="H25" s="115">
        <f>SUM(H6:H23)</f>
        <v>146392.35614983397</v>
      </c>
      <c r="I25" t="s">
        <v>311</v>
      </c>
    </row>
  </sheetData>
  <mergeCells count="1">
    <mergeCell ref="B3:F3"/>
  </mergeCells>
  <pageMargins left="0.7" right="0.7" top="0.78740157499999996" bottom="0.78740157499999996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AbschlussZentral</vt:lpstr>
      <vt:lpstr>Abschluss FS</vt:lpstr>
      <vt:lpstr>Stellenplan</vt:lpstr>
      <vt:lpstr>AbschlussZentral!Druckbereich</vt:lpstr>
      <vt:lpstr>AbschlussZentral!Print_Area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finanzreferat</dc:creator>
  <cp:lastModifiedBy>stura</cp:lastModifiedBy>
  <cp:lastPrinted>2025-05-05T15:54:35Z</cp:lastPrinted>
  <dcterms:created xsi:type="dcterms:W3CDTF">2018-09-23T19:33:37Z</dcterms:created>
  <dcterms:modified xsi:type="dcterms:W3CDTF">2025-05-05T15:54:42Z</dcterms:modified>
</cp:coreProperties>
</file>